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<sst xmlns="http://schemas.openxmlformats.org/spreadsheetml/2006/main" count="889" uniqueCount="264">
  <si>
    <t>ASPCA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</si>
  <si>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</si>
  <si>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</si>
  <si>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</si>
  <si>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</si>
  <si>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</si>
  <si>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</si>
  <si>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</si>
  <si>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</si>
  <si>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</si>
  <si>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</si>
  <si>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</si>
  <si>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</si>
  <si>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</si>
  <si>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</si>
  <si>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</si>
  <si>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</si>
  <si>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</si>
  <si>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</si>
  <si>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</si>
  <si>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</si>
  <si>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</si>
  <si>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</si>
  <si>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</si>
  <si>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</si>
  <si>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</si>
  <si>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</si>
  <si>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</si>
  <si>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</si>
  <si>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</si>
  <si>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</si>
  <si>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</si>
  <si>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</si>
  <si>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</si>
  <si>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</si>
  <si>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</si>
  <si>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</si>
  <si>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</si>
  <si>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</si>
  <si>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</si>
  <si>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</si>
  <si>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</si>
  <si>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</si>
  <si>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</si>
  <si>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</si>
  <si>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</si>
  <si>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</si>
  <si>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</si>
  <si>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</si>
  <si>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</si>
  <si>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</si>
  <si>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</si>
  <si>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</si>
  <si>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</si>
  <si>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</si>
  <si>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</si>
  <si>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</si>
  <si>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</si>
  <si>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</si>
  <si>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</si>
  <si>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</si>
  <si>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</si>
  <si>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</si>
  <si>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</si>
  <si>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ANIMAL POISON CONTROL CENTER FEES</t>
  </si>
  <si>
    <t>ASPCA SPAY NEUTER ALLIANCE</t>
  </si>
  <si>
    <t>MOBILE CLINIC VET &amp; CLINIC REV.</t>
  </si>
  <si>
    <t>ANIMAL HOSPITAL FEES</t>
  </si>
  <si>
    <t>ADOPTION CENTER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</si>
  <si>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</si>
  <si>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</si>
  <si>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</si>
  <si>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</si>
  <si>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</si>
  <si>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</si>
  <si>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</si>
  <si>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</si>
  <si>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</si>
  <si>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</si>
  <si>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</si>
  <si>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</si>
  <si>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</si>
  <si>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</si>
  <si>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</si>
  <si>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</si>
  <si>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</si>
  <si>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</si>
  <si>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</si>
  <si>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</si>
  <si>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</si>
  <si>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</si>
  <si>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</si>
  <si>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</si>
  <si>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</si>
  <si>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</si>
  <si>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</si>
  <si>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</si>
  <si>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</si>
  <si>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</si>
  <si>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</si>
  <si>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</si>
  <si>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 xml:space="preserve">LIST SALES </t>
  </si>
  <si>
    <t xml:space="preserve"> GAIN FROM K­1 ACTIVITY </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</si>
  <si>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</si>
  <si>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</si>
  <si>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</si>
  <si>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</si>
  <si>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</si>
  <si>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</si>
  <si>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</si>
  <si>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</si>
  <si>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</si>
  <si>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</si>
  <si>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</si>
  <si>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</si>
  <si>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</si>
  <si>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</si>
  <si>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</si>
  <si>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</si>
  <si>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</si>
  <si>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</si>
  <si>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</si>
  <si>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</si>
  <si>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</si>
  <si>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</si>
  <si>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</si>
  <si>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</si>
  <si>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</si>
  <si>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</si>
  <si>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</si>
  <si>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</si>
  <si>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</si>
  <si>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</si>
  <si>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</si>
  <si>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</si>
  <si>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</si>
  <si>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</si>
  <si>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</si>
  <si>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</si>
  <si>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</si>
  <si>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VETERINARY &amp; MEDICAL SE</t>
  </si>
  <si>
    <t>OPERATING SUPPLIES</t>
  </si>
  <si>
    <t xml:space="preserve">MISCELLANEOUS EXPENSES </t>
  </si>
  <si>
    <t xml:space="preserve">REPAIRS AND MAINTENANCE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</si>
  <si>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</si>
  <si>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</si>
  <si>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</si>
  <si>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</si>
  <si>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</si>
  <si>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</si>
  <si>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</si>
  <si>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</si>
  <si>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</si>
  <si>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</si>
  <si>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</si>
  <si>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</si>
  <si>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</si>
  <si>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</si>
  <si>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</si>
  <si>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</si>
  <si>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</si>
  <si>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</si>
  <si>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</si>
  <si>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</si>
  <si>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</si>
  <si>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</si>
  <si>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</si>
  <si>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</si>
  <si>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</si>
  <si>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</si>
  <si>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</si>
  <si>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</si>
  <si>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</si>
  <si>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</si>
  <si>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</si>
  <si>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</si>
  <si>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</si>
  <si>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</si>
  <si>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</si>
  <si>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</si>
  <si>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</si>
  <si>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</si>
  <si>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</si>
  <si>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</si>
  <si>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</si>
  <si>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</si>
  <si>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</si>
  <si>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</si>
  <si>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</si>
  <si>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</si>
  <si>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</si>
  <si>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</si>
  <si>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</si>
  <si>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</si>
  <si>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</si>
  <si>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</si>
  <si>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</si>
  <si>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</si>
  <si>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</si>
  <si>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</si>
  <si>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</si>
  <si>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</si>
  <si>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</si>
  <si>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</si>
  <si>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</si>
  <si>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</si>
  <si>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</si>
  <si>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</si>
  <si>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</si>
  <si>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</si>
  <si>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</si>
  <si>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</si>
  <si>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</si>
  <si>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</si>
  <si>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</si>
  <si>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</si>
  <si>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</si>
  <si>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</si>
  <si>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</si>
  <si>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</si>
  <si>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</si>
  <si>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</si>
  <si>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</si>
  <si>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</si>
  <si>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</si>
  <si>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</si>
  <si>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</si>
  <si>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</si>
  <si>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</si>
  <si>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</si>
  <si>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</si>
  <si>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</si>
  <si>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</si>
  <si>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</si>
  <si>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</si>
  <si>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</si>
  <si>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</si>
  <si>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</si>
  <si>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</si>
  <si>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</si>
  <si>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</si>
  <si>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</si>
  <si>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</si>
  <si>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</si>
  <si>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</si>
  <si>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GAIN FROM K­1 ACTIVITY</t>
  </si>
  <si>
    <t xml:space="preserve">VETERINARY &amp; MEDICAL SE </t>
  </si>
  <si>
    <t xml:space="preserve">OPERATING SUPPLIES </t>
  </si>
  <si>
    <t>MISCELLANEOUS EXPENSES</t>
  </si>
  <si>
    <t xml:space="preserve"> REPAIRS AND MAINTENANCE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</si>
  <si>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</si>
  <si>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</si>
  <si>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GAIN FROM K­1 ACTIVITY </t>
  </si>
  <si>
    <t xml:space="preserve"> LIST SALES </t>
  </si>
  <si>
    <t>CONFERENCE INCOME</t>
  </si>
  <si>
    <t>REPAIRS AND MAINTENANCE</t>
  </si>
  <si>
    <t xml:space="preserve">TAXES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</si>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</sst>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ASPCA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188</v>
      </c>
      <c r="C3" s="145" t="s">
        <v>189</v>
      </c>
      <c r="D3" s="146">
        <f>'Expenses 2022'!C40</f>
        <v>340307267</v>
      </c>
      <c r="E3" s="147"/>
      <c r="F3" s="43"/>
      <c r="G3" s="43"/>
      <c r="H3" s="43"/>
      <c r="I3" s="43"/>
      <c r="J3" s="43"/>
      <c r="K3" s="43"/>
      <c r="L3" s="43"/>
      <c r="M3" s="43"/>
      <c r="N3" s="43"/>
      <c r="O3" s="43"/>
      <c r="P3" s="43"/>
      <c r="Q3" s="43"/>
      <c r="R3" s="43"/>
      <c r="S3" s="43"/>
      <c r="T3" s="43"/>
      <c r="U3" s="43"/>
      <c r="V3" s="43"/>
      <c r="W3" s="43"/>
      <c r="X3" s="43"/>
      <c r="Y3" s="43"/>
    </row>
    <row r="4">
      <c r="A4" s="139"/>
      <c r="B4" s="49"/>
      <c r="C4" s="145" t="s">
        <v>190</v>
      </c>
      <c r="D4" s="146">
        <f>'Expenses 2022'!C31</f>
        <v>6882085</v>
      </c>
      <c r="E4" s="147"/>
      <c r="F4" s="43"/>
      <c r="G4" s="43"/>
      <c r="H4" s="43"/>
      <c r="I4" s="43"/>
      <c r="J4" s="43"/>
      <c r="K4" s="43"/>
      <c r="L4" s="43"/>
      <c r="M4" s="43"/>
      <c r="N4" s="43"/>
      <c r="O4" s="43"/>
      <c r="P4" s="43"/>
      <c r="Q4" s="43"/>
      <c r="R4" s="43"/>
      <c r="S4" s="43"/>
      <c r="T4" s="43"/>
      <c r="U4" s="43"/>
      <c r="V4" s="43"/>
      <c r="W4" s="43"/>
      <c r="X4" s="43"/>
      <c r="Y4" s="43"/>
    </row>
    <row r="5">
      <c r="A5" s="139"/>
      <c r="B5" s="49"/>
      <c r="C5" s="145" t="s">
        <v>191</v>
      </c>
      <c r="D5" s="146">
        <f>D3-D4</f>
        <v>333425182</v>
      </c>
      <c r="E5" s="147"/>
      <c r="F5" s="43"/>
      <c r="G5" s="43"/>
      <c r="H5" s="43"/>
      <c r="I5" s="43"/>
      <c r="J5" s="43"/>
      <c r="K5" s="43"/>
      <c r="L5" s="43"/>
      <c r="M5" s="43"/>
      <c r="N5" s="43"/>
      <c r="O5" s="43"/>
      <c r="P5" s="43"/>
      <c r="Q5" s="43"/>
      <c r="R5" s="43"/>
      <c r="S5" s="43"/>
      <c r="T5" s="43"/>
      <c r="U5" s="43"/>
      <c r="V5" s="43"/>
      <c r="W5" s="43"/>
      <c r="X5" s="43"/>
      <c r="Y5" s="43"/>
    </row>
    <row r="6">
      <c r="A6" s="139"/>
      <c r="B6" s="49"/>
      <c r="C6" s="145" t="s">
        <v>192</v>
      </c>
      <c r="D6" s="146">
        <f>D5/12</f>
        <v>27785431.83</v>
      </c>
      <c r="E6" s="147"/>
      <c r="F6" s="43"/>
      <c r="G6" s="43"/>
      <c r="H6" s="43"/>
      <c r="I6" s="43"/>
      <c r="J6" s="43"/>
      <c r="K6" s="43"/>
      <c r="L6" s="43"/>
      <c r="M6" s="43"/>
      <c r="N6" s="43"/>
      <c r="O6" s="43"/>
      <c r="P6" s="43"/>
      <c r="Q6" s="43"/>
      <c r="R6" s="43"/>
      <c r="S6" s="43"/>
      <c r="T6" s="43"/>
      <c r="U6" s="43"/>
      <c r="V6" s="43"/>
      <c r="W6" s="43"/>
      <c r="X6" s="43"/>
      <c r="Y6" s="43"/>
    </row>
    <row r="7">
      <c r="A7" s="139"/>
      <c r="B7" s="49"/>
      <c r="C7" s="145" t="s">
        <v>193</v>
      </c>
      <c r="D7" s="75">
        <f>'Balance Sheet 2022'!E2+'Balance Sheet 2022'!E3</f>
        <v>83951825</v>
      </c>
      <c r="E7" s="147"/>
      <c r="F7" s="43"/>
      <c r="G7" s="43"/>
      <c r="H7" s="43"/>
      <c r="I7" s="43"/>
      <c r="J7" s="43"/>
      <c r="K7" s="43"/>
      <c r="L7" s="43"/>
      <c r="M7" s="43"/>
      <c r="N7" s="43"/>
      <c r="O7" s="43"/>
      <c r="P7" s="43"/>
      <c r="Q7" s="43"/>
      <c r="R7" s="43"/>
      <c r="S7" s="43"/>
      <c r="T7" s="43"/>
      <c r="U7" s="43"/>
      <c r="V7" s="43"/>
      <c r="W7" s="43"/>
      <c r="X7" s="43"/>
      <c r="Y7" s="43"/>
    </row>
    <row r="8">
      <c r="A8" s="139"/>
      <c r="B8" s="49"/>
      <c r="C8" s="148" t="s">
        <v>187</v>
      </c>
      <c r="D8" s="149">
        <f>D7/D6</f>
        <v>3.021433156</v>
      </c>
      <c r="E8" s="150" t="s">
        <v>194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196</v>
      </c>
      <c r="C11" s="145" t="s">
        <v>197</v>
      </c>
      <c r="D11" s="75">
        <f>'Balance Sheet 2022'!E30</f>
        <v>407751614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198</v>
      </c>
      <c r="D12" s="75">
        <f>'Expenses 2022'!C40</f>
        <v>340307267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199</v>
      </c>
      <c r="D13" s="146">
        <f>D12/12</f>
        <v>28358938.92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195</v>
      </c>
      <c r="D14" s="149">
        <f>D11/D13</f>
        <v>14.37823944</v>
      </c>
      <c r="E14" s="150" t="s">
        <v>194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201</v>
      </c>
      <c r="C17" s="145" t="s">
        <v>202</v>
      </c>
      <c r="D17" s="75">
        <f>sum('Balance Sheet 2022'!E13:E15)</f>
        <v>329830252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198</v>
      </c>
      <c r="D18" s="75">
        <f>'Expenses 2022'!C40</f>
        <v>340307267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199</v>
      </c>
      <c r="D19" s="146">
        <f>D18/12</f>
        <v>28358938.92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203</v>
      </c>
      <c r="D20" s="149">
        <f>D17/D19</f>
        <v>11.63055688</v>
      </c>
      <c r="E20" s="150" t="s">
        <v>194</v>
      </c>
      <c r="F20" s="43"/>
      <c r="G20" s="43"/>
      <c r="H20" s="43"/>
      <c r="I20" s="43"/>
      <c r="J20" s="43"/>
      <c r="K20" s="43"/>
      <c r="L20" s="43"/>
      <c r="M20" s="43"/>
      <c r="N20" s="43"/>
      <c r="O20" s="43"/>
      <c r="P20" s="43"/>
      <c r="Q20" s="43"/>
      <c r="R20" s="43"/>
      <c r="S20" s="43"/>
      <c r="T20" s="43"/>
      <c r="U20" s="43"/>
      <c r="V20" s="43"/>
      <c r="W20" s="43"/>
      <c r="X20" s="43"/>
      <c r="Y20" s="43"/>
    </row>
    <row r="21">
      <c r="A21" s="139"/>
      <c r="B21" s="49"/>
      <c r="C21" s="154" t="s">
        <v>204</v>
      </c>
      <c r="D21" s="155">
        <f>D20+D8</f>
        <v>14.65199003</v>
      </c>
      <c r="E21" s="156" t="s">
        <v>194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206</v>
      </c>
      <c r="C24" s="160"/>
      <c r="D24" s="161">
        <f>max('Revenues 2022'!E2:E7,'Revenues 2023'!F10:F15)</f>
        <v>337819770</v>
      </c>
      <c r="E24" s="162" t="s">
        <v>207</v>
      </c>
      <c r="F24" s="43"/>
      <c r="G24" s="43"/>
      <c r="H24" s="43"/>
      <c r="I24" s="43"/>
      <c r="J24" s="43"/>
      <c r="K24" s="43"/>
      <c r="L24" s="43"/>
      <c r="M24" s="43"/>
      <c r="N24" s="43"/>
      <c r="O24" s="43"/>
      <c r="P24" s="43"/>
      <c r="Q24" s="43"/>
      <c r="R24" s="43"/>
      <c r="S24" s="43"/>
      <c r="T24" s="43"/>
      <c r="U24" s="43"/>
      <c r="V24" s="43"/>
      <c r="W24" s="43"/>
      <c r="X24" s="43"/>
      <c r="Y24" s="43"/>
    </row>
    <row r="25">
      <c r="A25" s="139"/>
      <c r="B25" s="49"/>
      <c r="C25" s="145" t="s">
        <v>208</v>
      </c>
      <c r="D25" s="146">
        <f>'Revenues 2022'!F44</f>
        <v>376416316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205</v>
      </c>
      <c r="D26" s="163">
        <f>D24/D25</f>
        <v>0.8974631429</v>
      </c>
      <c r="E26" s="150" t="s">
        <v>209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211</v>
      </c>
      <c r="C29" s="145" t="s">
        <v>212</v>
      </c>
      <c r="D29" s="75">
        <f>SUM('Expenses 2022'!C7:C9)</f>
        <v>101678025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213</v>
      </c>
      <c r="D30" s="75">
        <f>SUM('Expenses 2022'!C10:C12)</f>
        <v>31219350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214</v>
      </c>
      <c r="D31" s="75">
        <f>sum(D29:D30)</f>
        <v>132897375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189</v>
      </c>
      <c r="D32" s="75">
        <f>'Expenses 2022'!C40</f>
        <v>340307267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215</v>
      </c>
      <c r="D33" s="163">
        <f>D31/D32</f>
        <v>0.3905217075</v>
      </c>
      <c r="E33" s="150" t="s">
        <v>216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218</v>
      </c>
      <c r="C36" s="145" t="s">
        <v>219</v>
      </c>
      <c r="D36" s="75">
        <f>SUM('Expenses 2022'!C10:C11)</f>
        <v>23983345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212</v>
      </c>
      <c r="D37" s="75">
        <f>SUM('Expenses 2022'!C7:C9)</f>
        <v>101678025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217</v>
      </c>
      <c r="D38" s="163">
        <f>D36/D37</f>
        <v>0.2358754018</v>
      </c>
      <c r="E38" s="150" t="s">
        <v>220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222</v>
      </c>
      <c r="C41" s="148" t="s">
        <v>250</v>
      </c>
      <c r="D41" s="75">
        <f>'Expenses 2022'!D40</f>
        <v>257889274</v>
      </c>
      <c r="E41" s="165">
        <f t="shared" ref="E41:E44" si="1">D41/$D$44</f>
        <v>0.757813009</v>
      </c>
      <c r="F41" s="43"/>
      <c r="G41" s="43"/>
      <c r="H41" s="43"/>
      <c r="I41" s="43"/>
      <c r="J41" s="43"/>
      <c r="K41" s="43"/>
      <c r="L41" s="43"/>
      <c r="M41" s="43"/>
      <c r="N41" s="43"/>
      <c r="O41" s="43"/>
      <c r="P41" s="43"/>
      <c r="Q41" s="43"/>
      <c r="R41" s="43"/>
      <c r="S41" s="43"/>
      <c r="T41" s="43"/>
      <c r="U41" s="43"/>
      <c r="V41" s="43"/>
      <c r="W41" s="43"/>
      <c r="X41" s="43"/>
      <c r="Y41" s="43"/>
    </row>
    <row r="42">
      <c r="A42" s="139"/>
      <c r="B42" s="49"/>
      <c r="C42" s="148" t="s">
        <v>224</v>
      </c>
      <c r="D42" s="146">
        <f>'Expenses 2022'!E40</f>
        <v>16394392</v>
      </c>
      <c r="E42" s="165">
        <f t="shared" si="1"/>
        <v>0.04817526274</v>
      </c>
      <c r="F42" s="43"/>
      <c r="G42" s="43"/>
      <c r="H42" s="43"/>
      <c r="I42" s="43"/>
      <c r="J42" s="43"/>
      <c r="K42" s="43"/>
      <c r="L42" s="43"/>
      <c r="M42" s="43"/>
      <c r="N42" s="43"/>
      <c r="O42" s="43"/>
      <c r="P42" s="43"/>
      <c r="Q42" s="43"/>
      <c r="R42" s="43"/>
      <c r="S42" s="43"/>
      <c r="T42" s="43"/>
      <c r="U42" s="43"/>
      <c r="V42" s="43"/>
      <c r="W42" s="43"/>
      <c r="X42" s="43"/>
      <c r="Y42" s="43"/>
    </row>
    <row r="43">
      <c r="A43" s="139"/>
      <c r="B43" s="49"/>
      <c r="C43" s="148" t="s">
        <v>225</v>
      </c>
      <c r="D43" s="146">
        <f>'Expenses 2022'!F40</f>
        <v>66023601</v>
      </c>
      <c r="E43" s="165">
        <f t="shared" si="1"/>
        <v>0.1940117282</v>
      </c>
      <c r="F43" s="43"/>
      <c r="G43" s="43"/>
      <c r="H43" s="43"/>
      <c r="I43" s="43"/>
      <c r="J43" s="43"/>
      <c r="K43" s="43"/>
      <c r="L43" s="43"/>
      <c r="M43" s="43"/>
      <c r="N43" s="43"/>
      <c r="O43" s="43"/>
      <c r="P43" s="43"/>
      <c r="Q43" s="43"/>
      <c r="R43" s="43"/>
      <c r="S43" s="43"/>
      <c r="T43" s="43"/>
      <c r="U43" s="43"/>
      <c r="V43" s="43"/>
      <c r="W43" s="43"/>
      <c r="X43" s="43"/>
      <c r="Y43" s="43"/>
    </row>
    <row r="44">
      <c r="A44" s="139"/>
      <c r="B44" s="49"/>
      <c r="C44" s="145" t="s">
        <v>189</v>
      </c>
      <c r="D44" s="146">
        <f>sum(D41:D43)</f>
        <v>340307267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227</v>
      </c>
      <c r="C47" s="145" t="s">
        <v>228</v>
      </c>
      <c r="D47" s="146">
        <f>'Revenues 2022'!F9</f>
        <v>338555592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229</v>
      </c>
      <c r="D48" s="146">
        <f>'Expenses 2022'!F40</f>
        <v>66023601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230</v>
      </c>
      <c r="D49" s="166">
        <f>D47/D48</f>
        <v>5.127796528</v>
      </c>
      <c r="E49" s="150" t="s">
        <v>231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233</v>
      </c>
      <c r="C52" s="145" t="s">
        <v>234</v>
      </c>
      <c r="D52" s="146">
        <f>sum('Balance Sheet 2022'!E2:E10)</f>
        <v>117413030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235</v>
      </c>
      <c r="D53" s="146">
        <f>sum('Balance Sheet 2022'!E19:E22)</f>
        <v>19938639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236</v>
      </c>
      <c r="D54" s="168">
        <f>D52/D53</f>
        <v>5.888718382</v>
      </c>
      <c r="E54" s="150" t="s">
        <v>237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239</v>
      </c>
      <c r="C57" s="145" t="s">
        <v>240</v>
      </c>
      <c r="D57" s="146">
        <f>sum('Balance Sheet 2022'!E25:E26)</f>
        <v>24563933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241</v>
      </c>
      <c r="D58" s="146">
        <f>'Balance Sheet 2022'!E18</f>
        <v>575741210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242</v>
      </c>
      <c r="D59" s="169">
        <f>D57/D58</f>
        <v>0.04266488584</v>
      </c>
      <c r="E59" s="150" t="s">
        <v>243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ASPCA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355585.0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639300.0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3.37222245E8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4200090.0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338217130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2.3058916E7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772800.0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641995.0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505587.0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89415.0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25068713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1.3573826E7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3953489.0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251</v>
      </c>
      <c r="D26" s="50">
        <v>6.4344882E7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6.7174914E7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-2830032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-2830032</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174750.0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157107.0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17643</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252</v>
      </c>
      <c r="D39" s="74"/>
      <c r="E39" s="48">
        <v>746431.0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253</v>
      </c>
      <c r="D40" s="74"/>
      <c r="E40" s="48">
        <v>454914.0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254</v>
      </c>
      <c r="D41" s="74"/>
      <c r="E41" s="48">
        <v>80013.0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103</v>
      </c>
      <c r="D42" s="74"/>
      <c r="E42" s="48">
        <v>65000.0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1346358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379347127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ASPCA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7259659</v>
      </c>
      <c r="D3" s="99">
        <v>7259659.0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115150</v>
      </c>
      <c r="D5" s="99">
        <v>115150.0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5140378</v>
      </c>
      <c r="D7" s="99">
        <v>2194329.0</v>
      </c>
      <c r="E7" s="99">
        <v>1862999.0</v>
      </c>
      <c r="F7" s="99">
        <v>1083050.0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115</v>
      </c>
      <c r="C9" s="98">
        <f t="shared" si="1"/>
        <v>108857241</v>
      </c>
      <c r="D9" s="99">
        <v>9.3533918E7</v>
      </c>
      <c r="E9" s="99">
        <v>6606424.0</v>
      </c>
      <c r="F9" s="99">
        <v>8716899.0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6452636</v>
      </c>
      <c r="D10" s="99">
        <v>5573361.0</v>
      </c>
      <c r="E10" s="99">
        <v>367521.0</v>
      </c>
      <c r="F10" s="99">
        <v>511754.0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21783689</v>
      </c>
      <c r="D11" s="99">
        <v>1.8501395E7</v>
      </c>
      <c r="E11" s="99">
        <v>1472195.0</v>
      </c>
      <c r="F11" s="99">
        <v>1810099.0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8570513</v>
      </c>
      <c r="D12" s="99">
        <v>7235608.0</v>
      </c>
      <c r="E12" s="99">
        <v>607467.0</v>
      </c>
      <c r="F12" s="99">
        <v>727438.0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780201</v>
      </c>
      <c r="D14" s="99">
        <v>529633.0</v>
      </c>
      <c r="E14" s="99">
        <v>202308.0</v>
      </c>
      <c r="F14" s="99">
        <v>48260.0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2496319</v>
      </c>
      <c r="D15" s="99">
        <v>1172732.0</v>
      </c>
      <c r="E15" s="99">
        <v>1004365.0</v>
      </c>
      <c r="F15" s="99">
        <v>319222.0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440632</v>
      </c>
      <c r="D16" s="99">
        <v>6921.0</v>
      </c>
      <c r="E16" s="99">
        <v>433711.0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529541</v>
      </c>
      <c r="D17" s="99">
        <v>529541.0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11884368</v>
      </c>
      <c r="D18" s="99">
        <v>0.0</v>
      </c>
      <c r="E18" s="99">
        <v>0.0</v>
      </c>
      <c r="F18" s="99">
        <v>1.1884368E7</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891409</v>
      </c>
      <c r="D19" s="99">
        <v>0.0</v>
      </c>
      <c r="E19" s="99">
        <v>891409.0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29969842</v>
      </c>
      <c r="D20" s="99">
        <v>2.8163599E7</v>
      </c>
      <c r="E20" s="99">
        <v>394532.0</v>
      </c>
      <c r="F20" s="99">
        <v>1411711.0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61308708</v>
      </c>
      <c r="D21" s="99">
        <v>3.7764594E7</v>
      </c>
      <c r="E21" s="99">
        <v>161193.0</v>
      </c>
      <c r="F21" s="99">
        <v>2.3382921E7</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26873983</v>
      </c>
      <c r="D22" s="99">
        <v>1.6620081E7</v>
      </c>
      <c r="E22" s="99">
        <v>171630.0</v>
      </c>
      <c r="F22" s="99">
        <v>1.0082272E7</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17829431</v>
      </c>
      <c r="D23" s="99">
        <v>8314758.0</v>
      </c>
      <c r="E23" s="99">
        <v>706775.0</v>
      </c>
      <c r="F23" s="99">
        <v>8807898.0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8090914</v>
      </c>
      <c r="D25" s="99">
        <v>5538455.0</v>
      </c>
      <c r="E25" s="99">
        <v>1788235.0</v>
      </c>
      <c r="F25" s="99">
        <v>764224.0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6695039</v>
      </c>
      <c r="D26" s="99">
        <v>6419039.0</v>
      </c>
      <c r="E26" s="99">
        <v>138222.0</v>
      </c>
      <c r="F26" s="99">
        <v>137778.0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545241</v>
      </c>
      <c r="D28" s="99">
        <v>475180.0</v>
      </c>
      <c r="E28" s="99">
        <v>54232.0</v>
      </c>
      <c r="F28" s="99">
        <v>15829.0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780405</v>
      </c>
      <c r="D29" s="99">
        <v>780405.0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7014302</v>
      </c>
      <c r="D31" s="99">
        <v>6714075.0</v>
      </c>
      <c r="E31" s="99">
        <v>223261.0</v>
      </c>
      <c r="F31" s="99">
        <v>76966.0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2434039</v>
      </c>
      <c r="D32" s="99">
        <v>2147661.0</v>
      </c>
      <c r="E32" s="99">
        <v>208838.0</v>
      </c>
      <c r="F32" s="99">
        <v>77540.0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60" t="s">
        <v>140</v>
      </c>
      <c r="C34" s="98">
        <f t="shared" si="1"/>
        <v>10524267</v>
      </c>
      <c r="D34" s="99">
        <v>1.0369643E7</v>
      </c>
      <c r="E34" s="99">
        <v>136.0</v>
      </c>
      <c r="F34" s="99">
        <v>154488.0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3672776</v>
      </c>
      <c r="D35" s="99">
        <v>3556417.0</v>
      </c>
      <c r="E35" s="99">
        <v>62721.0</v>
      </c>
      <c r="F35" s="99">
        <v>53638.0</v>
      </c>
      <c r="G35" s="43"/>
      <c r="H35" s="43"/>
      <c r="I35" s="43"/>
      <c r="J35" s="43"/>
      <c r="K35" s="43"/>
      <c r="L35" s="43"/>
      <c r="M35" s="43"/>
      <c r="N35" s="43"/>
      <c r="O35" s="43"/>
      <c r="P35" s="43"/>
      <c r="Q35" s="43"/>
      <c r="R35" s="43"/>
      <c r="S35" s="43"/>
      <c r="T35" s="43"/>
      <c r="U35" s="43"/>
      <c r="V35" s="43"/>
      <c r="W35" s="43"/>
      <c r="X35" s="43"/>
      <c r="Y35" s="43"/>
      <c r="Z35" s="43"/>
    </row>
    <row r="36">
      <c r="A36" s="45" t="s">
        <v>50</v>
      </c>
      <c r="B36" s="60" t="s">
        <v>255</v>
      </c>
      <c r="C36" s="98">
        <f t="shared" si="1"/>
        <v>1561117</v>
      </c>
      <c r="D36" s="99">
        <v>1417361.0</v>
      </c>
      <c r="E36" s="99">
        <v>102096.0</v>
      </c>
      <c r="F36" s="99">
        <v>41660.0</v>
      </c>
      <c r="G36" s="43"/>
      <c r="H36" s="43"/>
      <c r="I36" s="43"/>
      <c r="J36" s="43"/>
      <c r="K36" s="43"/>
      <c r="L36" s="43"/>
      <c r="M36" s="43"/>
      <c r="N36" s="43"/>
      <c r="O36" s="43"/>
      <c r="P36" s="43"/>
      <c r="Q36" s="43"/>
      <c r="R36" s="43"/>
      <c r="S36" s="43"/>
      <c r="T36" s="43"/>
      <c r="U36" s="43"/>
      <c r="V36" s="43"/>
      <c r="W36" s="43"/>
      <c r="X36" s="43"/>
      <c r="Y36" s="43"/>
      <c r="Z36" s="43"/>
    </row>
    <row r="37">
      <c r="A37" s="45" t="s">
        <v>52</v>
      </c>
      <c r="B37" s="60" t="s">
        <v>256</v>
      </c>
      <c r="C37" s="98">
        <f t="shared" si="1"/>
        <v>360992</v>
      </c>
      <c r="D37" s="99">
        <v>0.0</v>
      </c>
      <c r="E37" s="99">
        <v>360992.0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8">
        <f t="shared" si="1"/>
        <v>2706230</v>
      </c>
      <c r="D38" s="99">
        <v>2232821.0</v>
      </c>
      <c r="E38" s="99">
        <v>418699.0</v>
      </c>
      <c r="F38" s="99">
        <v>54710.0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4">
        <f t="shared" ref="C40:F40" si="2">sum(C3:C39)</f>
        <v>355569022</v>
      </c>
      <c r="D40" s="104">
        <f t="shared" si="2"/>
        <v>267166336</v>
      </c>
      <c r="E40" s="104">
        <f t="shared" si="2"/>
        <v>18239961</v>
      </c>
      <c r="F40" s="104">
        <f t="shared" si="2"/>
        <v>70162725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ASPCA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146</v>
      </c>
      <c r="B2" s="45">
        <v>1.0</v>
      </c>
      <c r="C2" s="46" t="s">
        <v>147</v>
      </c>
      <c r="D2" s="111"/>
      <c r="E2" s="112">
        <v>2218140.0</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3"/>
      <c r="E3" s="112">
        <v>9.0494859E7</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1"/>
      <c r="E4" s="112">
        <v>2.5058016E7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3"/>
      <c r="E5" s="112">
        <v>4704621.0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1"/>
      <c r="E10" s="112">
        <v>4382797.0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2">
        <v>1.52987228E8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2">
        <v>6.5570626E7</v>
      </c>
      <c r="E12" s="109">
        <f>D11-D12</f>
        <v>87416602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3"/>
      <c r="E13" s="112">
        <v>3.20233763E8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3"/>
      <c r="E14" s="112">
        <v>5.6410455E7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3"/>
      <c r="E17" s="112">
        <v>4.9949246E7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4"/>
      <c r="E18" s="115">
        <f>sum(E2:E17)</f>
        <v>640868499</v>
      </c>
      <c r="F18" s="43"/>
      <c r="G18" s="43"/>
      <c r="H18" s="43"/>
      <c r="I18" s="43"/>
      <c r="J18" s="43"/>
      <c r="K18" s="43"/>
      <c r="L18" s="43"/>
      <c r="M18" s="43"/>
      <c r="N18" s="43"/>
      <c r="O18" s="43"/>
      <c r="P18" s="43"/>
      <c r="Q18" s="43"/>
      <c r="R18" s="43"/>
      <c r="S18" s="43"/>
      <c r="T18" s="43"/>
      <c r="U18" s="43"/>
      <c r="V18" s="43"/>
      <c r="W18" s="43"/>
      <c r="X18" s="43"/>
      <c r="Y18" s="43"/>
      <c r="Z18" s="43"/>
    </row>
    <row r="19">
      <c r="A19" s="44" t="s">
        <v>166</v>
      </c>
      <c r="B19" s="116">
        <v>17.0</v>
      </c>
      <c r="C19" s="117" t="s">
        <v>167</v>
      </c>
      <c r="D19" s="118"/>
      <c r="E19" s="112">
        <v>2.6403884E7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174</v>
      </c>
      <c r="D26" s="118"/>
      <c r="E26" s="119">
        <v>2.3679278E7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175</v>
      </c>
      <c r="D27" s="118"/>
      <c r="E27" s="119">
        <v>3.7459706E7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176</v>
      </c>
      <c r="D28" s="126"/>
      <c r="E28" s="127">
        <f>sum(E19:E27)</f>
        <v>87542868</v>
      </c>
      <c r="F28" s="43"/>
      <c r="G28" s="43"/>
      <c r="H28" s="43"/>
      <c r="I28" s="43"/>
      <c r="J28" s="43"/>
      <c r="K28" s="43"/>
      <c r="L28" s="43"/>
      <c r="M28" s="43"/>
      <c r="N28" s="43"/>
      <c r="O28" s="43"/>
      <c r="P28" s="43"/>
      <c r="Q28" s="43"/>
      <c r="R28" s="43"/>
      <c r="S28" s="43"/>
      <c r="T28" s="43"/>
      <c r="U28" s="43"/>
      <c r="V28" s="43"/>
      <c r="W28" s="43"/>
      <c r="X28" s="43"/>
      <c r="Y28" s="43"/>
      <c r="Z28" s="43"/>
    </row>
    <row r="29">
      <c r="A29" s="65" t="s">
        <v>177</v>
      </c>
      <c r="B29" s="128"/>
      <c r="C29" s="129" t="s">
        <v>178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179</v>
      </c>
      <c r="D30" s="118"/>
      <c r="E30" s="112">
        <v>4.78096317E8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180</v>
      </c>
      <c r="D31" s="118"/>
      <c r="E31" s="112">
        <v>7.5229314E7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185</v>
      </c>
      <c r="D36" s="132"/>
      <c r="E36" s="127">
        <f>sum(E30:E35)</f>
        <v>553325631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186</v>
      </c>
      <c r="D37" s="136"/>
      <c r="E37" s="137">
        <f>E36+E28</f>
        <v>640868499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ASPCA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188</v>
      </c>
      <c r="C3" s="145" t="s">
        <v>189</v>
      </c>
      <c r="D3" s="146">
        <f>'Expenses 2023'!C40</f>
        <v>355569022</v>
      </c>
      <c r="E3" s="147"/>
      <c r="F3" s="43"/>
      <c r="G3" s="43"/>
      <c r="H3" s="43"/>
      <c r="I3" s="43"/>
      <c r="J3" s="43"/>
      <c r="K3" s="43"/>
      <c r="L3" s="43"/>
      <c r="M3" s="43"/>
      <c r="N3" s="43"/>
      <c r="O3" s="43"/>
      <c r="P3" s="43"/>
      <c r="Q3" s="43"/>
      <c r="R3" s="43"/>
      <c r="S3" s="43"/>
      <c r="T3" s="43"/>
      <c r="U3" s="43"/>
      <c r="V3" s="43"/>
      <c r="W3" s="43"/>
      <c r="X3" s="43"/>
      <c r="Y3" s="43"/>
    </row>
    <row r="4">
      <c r="A4" s="139"/>
      <c r="B4" s="49"/>
      <c r="C4" s="145" t="s">
        <v>190</v>
      </c>
      <c r="D4" s="146">
        <f>'Expenses 2023'!C31</f>
        <v>7014302</v>
      </c>
      <c r="E4" s="147"/>
      <c r="F4" s="43"/>
      <c r="G4" s="43"/>
      <c r="H4" s="43"/>
      <c r="I4" s="43"/>
      <c r="J4" s="43"/>
      <c r="K4" s="43"/>
      <c r="L4" s="43"/>
      <c r="M4" s="43"/>
      <c r="N4" s="43"/>
      <c r="O4" s="43"/>
      <c r="P4" s="43"/>
      <c r="Q4" s="43"/>
      <c r="R4" s="43"/>
      <c r="S4" s="43"/>
      <c r="T4" s="43"/>
      <c r="U4" s="43"/>
      <c r="V4" s="43"/>
      <c r="W4" s="43"/>
      <c r="X4" s="43"/>
      <c r="Y4" s="43"/>
    </row>
    <row r="5">
      <c r="A5" s="139"/>
      <c r="B5" s="49"/>
      <c r="C5" s="145" t="s">
        <v>191</v>
      </c>
      <c r="D5" s="146">
        <f>D3-D4</f>
        <v>348554720</v>
      </c>
      <c r="E5" s="147"/>
      <c r="F5" s="43"/>
      <c r="G5" s="43"/>
      <c r="H5" s="43"/>
      <c r="I5" s="43"/>
      <c r="J5" s="43"/>
      <c r="K5" s="43"/>
      <c r="L5" s="43"/>
      <c r="M5" s="43"/>
      <c r="N5" s="43"/>
      <c r="O5" s="43"/>
      <c r="P5" s="43"/>
      <c r="Q5" s="43"/>
      <c r="R5" s="43"/>
      <c r="S5" s="43"/>
      <c r="T5" s="43"/>
      <c r="U5" s="43"/>
      <c r="V5" s="43"/>
      <c r="W5" s="43"/>
      <c r="X5" s="43"/>
      <c r="Y5" s="43"/>
    </row>
    <row r="6">
      <c r="A6" s="139"/>
      <c r="B6" s="49"/>
      <c r="C6" s="145" t="s">
        <v>192</v>
      </c>
      <c r="D6" s="146">
        <f>D5/12</f>
        <v>29046226.67</v>
      </c>
      <c r="E6" s="147"/>
      <c r="F6" s="43"/>
      <c r="G6" s="43"/>
      <c r="H6" s="43"/>
      <c r="I6" s="43"/>
      <c r="J6" s="43"/>
      <c r="K6" s="43"/>
      <c r="L6" s="43"/>
      <c r="M6" s="43"/>
      <c r="N6" s="43"/>
      <c r="O6" s="43"/>
      <c r="P6" s="43"/>
      <c r="Q6" s="43"/>
      <c r="R6" s="43"/>
      <c r="S6" s="43"/>
      <c r="T6" s="43"/>
      <c r="U6" s="43"/>
      <c r="V6" s="43"/>
      <c r="W6" s="43"/>
      <c r="X6" s="43"/>
      <c r="Y6" s="43"/>
    </row>
    <row r="7">
      <c r="A7" s="139"/>
      <c r="B7" s="49"/>
      <c r="C7" s="145" t="s">
        <v>193</v>
      </c>
      <c r="D7" s="75">
        <f>'Balance Sheet 2023'!E2+'Balance Sheet 2023'!E3</f>
        <v>92712999</v>
      </c>
      <c r="E7" s="147"/>
      <c r="F7" s="43"/>
      <c r="G7" s="43"/>
      <c r="H7" s="43"/>
      <c r="I7" s="43"/>
      <c r="J7" s="43"/>
      <c r="K7" s="43"/>
      <c r="L7" s="43"/>
      <c r="M7" s="43"/>
      <c r="N7" s="43"/>
      <c r="O7" s="43"/>
      <c r="P7" s="43"/>
      <c r="Q7" s="43"/>
      <c r="R7" s="43"/>
      <c r="S7" s="43"/>
      <c r="T7" s="43"/>
      <c r="U7" s="43"/>
      <c r="V7" s="43"/>
      <c r="W7" s="43"/>
      <c r="X7" s="43"/>
      <c r="Y7" s="43"/>
    </row>
    <row r="8">
      <c r="A8" s="139"/>
      <c r="B8" s="49"/>
      <c r="C8" s="148" t="s">
        <v>187</v>
      </c>
      <c r="D8" s="149">
        <f>D7/D6</f>
        <v>3.191911984</v>
      </c>
      <c r="E8" s="150" t="s">
        <v>194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196</v>
      </c>
      <c r="C11" s="145" t="s">
        <v>197</v>
      </c>
      <c r="D11" s="75">
        <f>'Balance Sheet 2023'!E30</f>
        <v>478096317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198</v>
      </c>
      <c r="D12" s="75">
        <f>'Expenses 2023'!C40</f>
        <v>355569022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199</v>
      </c>
      <c r="D13" s="146">
        <f>D12/12</f>
        <v>29630751.83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195</v>
      </c>
      <c r="D14" s="149">
        <f>D11/D13</f>
        <v>16.13513959</v>
      </c>
      <c r="E14" s="150" t="s">
        <v>194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201</v>
      </c>
      <c r="C17" s="145" t="s">
        <v>202</v>
      </c>
      <c r="D17" s="75">
        <f>sum('Balance Sheet 2023'!E13:E15)</f>
        <v>376644218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198</v>
      </c>
      <c r="D18" s="75">
        <f>'Expenses 2023'!C40</f>
        <v>355569022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199</v>
      </c>
      <c r="D19" s="146">
        <f>D18/12</f>
        <v>29630751.83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203</v>
      </c>
      <c r="D20" s="149">
        <f>D17/D19</f>
        <v>12.71126093</v>
      </c>
      <c r="E20" s="150" t="s">
        <v>194</v>
      </c>
      <c r="F20" s="43"/>
      <c r="G20" s="43"/>
      <c r="H20" s="43"/>
      <c r="I20" s="43"/>
      <c r="J20" s="43"/>
      <c r="K20" s="43"/>
      <c r="L20" s="43"/>
      <c r="M20" s="43"/>
      <c r="N20" s="43"/>
      <c r="O20" s="43"/>
      <c r="P20" s="43"/>
      <c r="Q20" s="43"/>
      <c r="R20" s="43"/>
      <c r="S20" s="43"/>
      <c r="T20" s="43"/>
      <c r="U20" s="43"/>
      <c r="V20" s="43"/>
      <c r="W20" s="43"/>
      <c r="X20" s="43"/>
      <c r="Y20" s="43"/>
    </row>
    <row r="21">
      <c r="A21" s="139"/>
      <c r="B21" s="49"/>
      <c r="C21" s="154" t="s">
        <v>204</v>
      </c>
      <c r="D21" s="155">
        <f>D20+D8</f>
        <v>15.90317291</v>
      </c>
      <c r="E21" s="156" t="s">
        <v>194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206</v>
      </c>
      <c r="C24" s="160"/>
      <c r="D24" s="161">
        <f>max('Revenues 2023'!E2:E7,'Revenues 2023'!F10:F15)</f>
        <v>337222245</v>
      </c>
      <c r="E24" s="162" t="s">
        <v>207</v>
      </c>
      <c r="F24" s="43"/>
      <c r="G24" s="43"/>
      <c r="H24" s="43"/>
      <c r="I24" s="43"/>
      <c r="J24" s="43"/>
      <c r="K24" s="43"/>
      <c r="L24" s="43"/>
      <c r="M24" s="43"/>
      <c r="N24" s="43"/>
      <c r="O24" s="43"/>
      <c r="P24" s="43"/>
      <c r="Q24" s="43"/>
      <c r="R24" s="43"/>
      <c r="S24" s="43"/>
      <c r="T24" s="43"/>
      <c r="U24" s="43"/>
      <c r="V24" s="43"/>
      <c r="W24" s="43"/>
      <c r="X24" s="43"/>
      <c r="Y24" s="43"/>
    </row>
    <row r="25">
      <c r="A25" s="139"/>
      <c r="B25" s="49"/>
      <c r="C25" s="145" t="s">
        <v>208</v>
      </c>
      <c r="D25" s="146">
        <f>'Revenues 2023'!F44</f>
        <v>379347127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205</v>
      </c>
      <c r="D26" s="163">
        <f>D24/D25</f>
        <v>0.8889542611</v>
      </c>
      <c r="E26" s="150" t="s">
        <v>209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211</v>
      </c>
      <c r="C29" s="145" t="s">
        <v>212</v>
      </c>
      <c r="D29" s="75">
        <f>SUM('Expenses 2023'!C7:C9)</f>
        <v>113997619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213</v>
      </c>
      <c r="D30" s="75">
        <f>SUM('Expenses 2023'!C10:C12)</f>
        <v>36806838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214</v>
      </c>
      <c r="D31" s="75">
        <f>sum(D29:D30)</f>
        <v>150804457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189</v>
      </c>
      <c r="D32" s="75">
        <f>'Expenses 2023'!C40</f>
        <v>355569022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215</v>
      </c>
      <c r="D33" s="163">
        <f>D31/D32</f>
        <v>0.424121472</v>
      </c>
      <c r="E33" s="150" t="s">
        <v>216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218</v>
      </c>
      <c r="C36" s="145" t="s">
        <v>219</v>
      </c>
      <c r="D36" s="75">
        <f>SUM('Expenses 2023'!C10:C11)</f>
        <v>28236325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212</v>
      </c>
      <c r="D37" s="75">
        <f>SUM('Expenses 2023'!C7:C9)</f>
        <v>113997619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217</v>
      </c>
      <c r="D38" s="163">
        <f>D36/D37</f>
        <v>0.2476922347</v>
      </c>
      <c r="E38" s="150" t="s">
        <v>220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222</v>
      </c>
      <c r="C41" s="148" t="s">
        <v>257</v>
      </c>
      <c r="D41" s="75">
        <f>'Expenses 2023'!D40</f>
        <v>267166336</v>
      </c>
      <c r="E41" s="165">
        <f t="shared" ref="E41:E44" si="1">D41/$D$44</f>
        <v>0.7513768621</v>
      </c>
      <c r="F41" s="43"/>
      <c r="G41" s="43"/>
      <c r="H41" s="43"/>
      <c r="I41" s="43"/>
      <c r="J41" s="43"/>
      <c r="K41" s="43"/>
      <c r="L41" s="43"/>
      <c r="M41" s="43"/>
      <c r="N41" s="43"/>
      <c r="O41" s="43"/>
      <c r="P41" s="43"/>
      <c r="Q41" s="43"/>
      <c r="R41" s="43"/>
      <c r="S41" s="43"/>
      <c r="T41" s="43"/>
      <c r="U41" s="43"/>
      <c r="V41" s="43"/>
      <c r="W41" s="43"/>
      <c r="X41" s="43"/>
      <c r="Y41" s="43"/>
    </row>
    <row r="42">
      <c r="A42" s="139"/>
      <c r="B42" s="49"/>
      <c r="C42" s="148" t="s">
        <v>224</v>
      </c>
      <c r="D42" s="146">
        <f>'Expenses 2023'!E40</f>
        <v>18239961</v>
      </c>
      <c r="E42" s="165">
        <f t="shared" si="1"/>
        <v>0.05129794743</v>
      </c>
      <c r="F42" s="43"/>
      <c r="G42" s="43"/>
      <c r="H42" s="43"/>
      <c r="I42" s="43"/>
      <c r="J42" s="43"/>
      <c r="K42" s="43"/>
      <c r="L42" s="43"/>
      <c r="M42" s="43"/>
      <c r="N42" s="43"/>
      <c r="O42" s="43"/>
      <c r="P42" s="43"/>
      <c r="Q42" s="43"/>
      <c r="R42" s="43"/>
      <c r="S42" s="43"/>
      <c r="T42" s="43"/>
      <c r="U42" s="43"/>
      <c r="V42" s="43"/>
      <c r="W42" s="43"/>
      <c r="X42" s="43"/>
      <c r="Y42" s="43"/>
    </row>
    <row r="43">
      <c r="A43" s="139"/>
      <c r="B43" s="49"/>
      <c r="C43" s="148" t="s">
        <v>225</v>
      </c>
      <c r="D43" s="146">
        <f>'Expenses 2023'!F40</f>
        <v>70162725</v>
      </c>
      <c r="E43" s="165">
        <f t="shared" si="1"/>
        <v>0.1973251905</v>
      </c>
      <c r="F43" s="43"/>
      <c r="G43" s="43"/>
      <c r="H43" s="43"/>
      <c r="I43" s="43"/>
      <c r="J43" s="43"/>
      <c r="K43" s="43"/>
      <c r="L43" s="43"/>
      <c r="M43" s="43"/>
      <c r="N43" s="43"/>
      <c r="O43" s="43"/>
      <c r="P43" s="43"/>
      <c r="Q43" s="43"/>
      <c r="R43" s="43"/>
      <c r="S43" s="43"/>
      <c r="T43" s="43"/>
      <c r="U43" s="43"/>
      <c r="V43" s="43"/>
      <c r="W43" s="43"/>
      <c r="X43" s="43"/>
      <c r="Y43" s="43"/>
    </row>
    <row r="44">
      <c r="A44" s="139"/>
      <c r="B44" s="49"/>
      <c r="C44" s="145" t="s">
        <v>189</v>
      </c>
      <c r="D44" s="146">
        <f>sum(D41:D43)</f>
        <v>355569022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227</v>
      </c>
      <c r="C47" s="145" t="s">
        <v>228</v>
      </c>
      <c r="D47" s="146">
        <f>'Revenues 2023'!F9</f>
        <v>338217130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229</v>
      </c>
      <c r="D48" s="146">
        <f>'Expenses 2023'!F40</f>
        <v>70162725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230</v>
      </c>
      <c r="D49" s="166">
        <f>D47/D48</f>
        <v>4.820467421</v>
      </c>
      <c r="E49" s="150" t="s">
        <v>231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233</v>
      </c>
      <c r="C52" s="145" t="s">
        <v>234</v>
      </c>
      <c r="D52" s="146">
        <f>sum('Balance Sheet 2023'!E2:E10)</f>
        <v>126858433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235</v>
      </c>
      <c r="D53" s="146">
        <f>sum('Balance Sheet 2023'!E19:E22)</f>
        <v>26403884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236</v>
      </c>
      <c r="D54" s="168">
        <f>D52/D53</f>
        <v>4.804536825</v>
      </c>
      <c r="E54" s="150" t="s">
        <v>237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239</v>
      </c>
      <c r="C57" s="145" t="s">
        <v>240</v>
      </c>
      <c r="D57" s="146">
        <f>sum('Balance Sheet 2023'!E25:E26)</f>
        <v>23679278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241</v>
      </c>
      <c r="D58" s="146">
        <f>'Balance Sheet 2023'!E18</f>
        <v>640868499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242</v>
      </c>
      <c r="D59" s="169">
        <f>D57/D58</f>
        <v>0.03694873135</v>
      </c>
      <c r="E59" s="150" t="s">
        <v>243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ASPCA</v>
      </c>
      <c r="B1" s="2" t="s">
        <v>258</v>
      </c>
      <c r="C1" s="139"/>
      <c r="D1" s="139"/>
      <c r="E1" s="139"/>
      <c r="F1" s="140"/>
      <c r="G1" s="140"/>
      <c r="H1" s="140"/>
      <c r="I1" s="43"/>
      <c r="J1" s="43"/>
      <c r="K1" s="43"/>
      <c r="L1" s="43"/>
      <c r="M1" s="43"/>
      <c r="N1" s="43"/>
      <c r="O1" s="43"/>
      <c r="P1" s="43"/>
      <c r="Q1" s="43"/>
      <c r="R1" s="43"/>
      <c r="S1" s="43"/>
      <c r="T1" s="43"/>
      <c r="U1" s="43"/>
      <c r="V1" s="43"/>
      <c r="W1" s="43"/>
      <c r="X1" s="43"/>
      <c r="Y1" s="43"/>
    </row>
    <row r="2">
      <c r="A2" s="141" t="s">
        <v>187</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188</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259</v>
      </c>
      <c r="E4" s="45" t="s">
        <v>260</v>
      </c>
      <c r="F4" s="45" t="s">
        <v>261</v>
      </c>
      <c r="G4" s="59" t="s">
        <v>262</v>
      </c>
      <c r="H4" s="59"/>
      <c r="I4" s="43"/>
      <c r="J4" s="43"/>
      <c r="K4" s="43"/>
      <c r="L4" s="43"/>
      <c r="M4" s="43"/>
      <c r="N4" s="43"/>
      <c r="O4" s="43"/>
      <c r="P4" s="43"/>
      <c r="Q4" s="43"/>
      <c r="R4" s="43"/>
      <c r="S4" s="43"/>
      <c r="T4" s="43"/>
      <c r="U4" s="43"/>
      <c r="V4" s="43"/>
      <c r="W4" s="43"/>
      <c r="X4" s="43"/>
      <c r="Y4" s="43"/>
    </row>
    <row r="5">
      <c r="A5" s="139"/>
      <c r="B5" s="49"/>
      <c r="C5" s="148" t="s">
        <v>187</v>
      </c>
      <c r="D5" s="177">
        <f>'Ratios 2021'!D8</f>
        <v>4.284663763</v>
      </c>
      <c r="E5" s="177">
        <f>'Ratios 2022'!D8</f>
        <v>3.021433156</v>
      </c>
      <c r="F5" s="177">
        <f>'Ratios 2023'!D8</f>
        <v>3.191911984</v>
      </c>
      <c r="G5" s="177">
        <f>average(D5:F5)</f>
        <v>3.499336301</v>
      </c>
      <c r="H5" s="150" t="s">
        <v>194</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195</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196</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259</v>
      </c>
      <c r="E9" s="45" t="s">
        <v>260</v>
      </c>
      <c r="F9" s="45" t="s">
        <v>261</v>
      </c>
      <c r="G9" s="59" t="s">
        <v>262</v>
      </c>
      <c r="H9" s="59"/>
      <c r="I9" s="43"/>
      <c r="J9" s="43"/>
      <c r="K9" s="43"/>
      <c r="L9" s="43"/>
      <c r="M9" s="43"/>
      <c r="N9" s="43"/>
      <c r="O9" s="43"/>
      <c r="P9" s="43"/>
      <c r="Q9" s="43"/>
      <c r="R9" s="43"/>
      <c r="S9" s="43"/>
      <c r="T9" s="43"/>
      <c r="U9" s="43"/>
      <c r="V9" s="43"/>
      <c r="W9" s="43"/>
      <c r="X9" s="43"/>
      <c r="Y9" s="43"/>
    </row>
    <row r="10">
      <c r="A10" s="139"/>
      <c r="B10" s="49"/>
      <c r="C10" s="148" t="s">
        <v>195</v>
      </c>
      <c r="D10" s="149">
        <f>'Ratios 2021'!D14</f>
        <v>16.82542667</v>
      </c>
      <c r="E10" s="149">
        <f>'Ratios 2022'!D14</f>
        <v>14.37823944</v>
      </c>
      <c r="F10" s="149">
        <f>'Ratios 2023'!D14</f>
        <v>16.13513959</v>
      </c>
      <c r="G10" s="177">
        <f>average(D10:F10)</f>
        <v>15.7796019</v>
      </c>
      <c r="H10" s="150" t="s">
        <v>194</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200</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201</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259</v>
      </c>
      <c r="E14" s="45" t="s">
        <v>260</v>
      </c>
      <c r="F14" s="45" t="s">
        <v>261</v>
      </c>
      <c r="G14" s="59" t="s">
        <v>262</v>
      </c>
      <c r="H14" s="59"/>
      <c r="I14" s="43"/>
      <c r="J14" s="43"/>
      <c r="K14" s="43"/>
      <c r="L14" s="43"/>
      <c r="M14" s="43"/>
      <c r="N14" s="43"/>
      <c r="O14" s="43"/>
      <c r="P14" s="43"/>
      <c r="Q14" s="43"/>
      <c r="R14" s="43"/>
      <c r="S14" s="43"/>
      <c r="T14" s="43"/>
      <c r="U14" s="43"/>
      <c r="V14" s="43"/>
      <c r="W14" s="43"/>
      <c r="X14" s="43"/>
      <c r="Y14" s="43"/>
    </row>
    <row r="15">
      <c r="A15" s="139"/>
      <c r="B15" s="49"/>
      <c r="C15" s="148" t="s">
        <v>203</v>
      </c>
      <c r="D15" s="180">
        <f>'Ratios 2021'!D20</f>
        <v>12.37361093</v>
      </c>
      <c r="E15" s="180">
        <f>'Ratios 2022'!D20</f>
        <v>11.63055688</v>
      </c>
      <c r="F15" s="180">
        <f>'Ratios 2023'!D20</f>
        <v>12.71126093</v>
      </c>
      <c r="G15" s="177">
        <f>average(D15:F15)</f>
        <v>12.23847624</v>
      </c>
      <c r="H15" s="150" t="s">
        <v>194</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205</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206</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259</v>
      </c>
      <c r="E19" s="45" t="s">
        <v>260</v>
      </c>
      <c r="F19" s="45" t="s">
        <v>261</v>
      </c>
      <c r="G19" s="59" t="s">
        <v>262</v>
      </c>
      <c r="H19" s="59"/>
      <c r="I19" s="43"/>
      <c r="J19" s="43"/>
      <c r="K19" s="43"/>
      <c r="L19" s="43"/>
      <c r="M19" s="43"/>
      <c r="N19" s="43"/>
      <c r="O19" s="43"/>
      <c r="P19" s="43"/>
      <c r="Q19" s="43"/>
      <c r="R19" s="43"/>
      <c r="S19" s="43"/>
      <c r="T19" s="43"/>
      <c r="U19" s="43"/>
      <c r="V19" s="43"/>
      <c r="W19" s="43"/>
      <c r="X19" s="43"/>
      <c r="Y19" s="43"/>
    </row>
    <row r="20">
      <c r="A20" s="139"/>
      <c r="B20" s="49"/>
      <c r="C20" s="148" t="s">
        <v>205</v>
      </c>
      <c r="D20" s="163">
        <f>'Ratios 2021'!D26</f>
        <v>0.899307242</v>
      </c>
      <c r="E20" s="163">
        <f>'Ratios 2022'!D26</f>
        <v>0.8974631429</v>
      </c>
      <c r="F20" s="163">
        <f>'Ratios 2023'!D26</f>
        <v>0.8889542611</v>
      </c>
      <c r="G20" s="181">
        <f>average(D20:F20)</f>
        <v>0.8952415487</v>
      </c>
      <c r="H20" s="150" t="s">
        <v>209</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210</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211</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259</v>
      </c>
      <c r="E24" s="45" t="s">
        <v>260</v>
      </c>
      <c r="F24" s="45" t="s">
        <v>261</v>
      </c>
      <c r="G24" s="59" t="s">
        <v>262</v>
      </c>
      <c r="H24" s="59"/>
      <c r="I24" s="43"/>
      <c r="J24" s="43"/>
      <c r="K24" s="43"/>
      <c r="L24" s="43"/>
      <c r="M24" s="43"/>
      <c r="N24" s="43"/>
      <c r="O24" s="43"/>
      <c r="P24" s="43"/>
      <c r="Q24" s="43"/>
      <c r="R24" s="43"/>
      <c r="S24" s="43"/>
      <c r="T24" s="43"/>
      <c r="U24" s="43"/>
      <c r="V24" s="43"/>
      <c r="W24" s="43"/>
      <c r="X24" s="43"/>
      <c r="Y24" s="43"/>
    </row>
    <row r="25">
      <c r="A25" s="139"/>
      <c r="B25" s="49"/>
      <c r="C25" s="148" t="s">
        <v>215</v>
      </c>
      <c r="D25" s="163">
        <f>'Ratios 2021'!D33</f>
        <v>0.3790836849</v>
      </c>
      <c r="E25" s="163">
        <f>'Ratios 2022'!D33</f>
        <v>0.3905217075</v>
      </c>
      <c r="F25" s="163">
        <f>'Ratios 2023'!D33</f>
        <v>0.424121472</v>
      </c>
      <c r="G25" s="181">
        <f>average(D25:F25)</f>
        <v>0.3979089548</v>
      </c>
      <c r="H25" s="150" t="s">
        <v>216</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217</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218</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259</v>
      </c>
      <c r="E29" s="45" t="s">
        <v>260</v>
      </c>
      <c r="F29" s="45" t="s">
        <v>261</v>
      </c>
      <c r="G29" s="59" t="s">
        <v>262</v>
      </c>
      <c r="H29" s="59"/>
      <c r="I29" s="43"/>
      <c r="J29" s="43"/>
      <c r="K29" s="43"/>
      <c r="L29" s="43"/>
      <c r="M29" s="43"/>
      <c r="N29" s="43"/>
      <c r="O29" s="43"/>
      <c r="P29" s="43"/>
      <c r="Q29" s="43"/>
      <c r="R29" s="43"/>
      <c r="S29" s="43"/>
      <c r="T29" s="43"/>
      <c r="U29" s="43"/>
      <c r="V29" s="43"/>
      <c r="W29" s="43"/>
      <c r="X29" s="43"/>
      <c r="Y29" s="43"/>
    </row>
    <row r="30">
      <c r="A30" s="139"/>
      <c r="B30" s="49"/>
      <c r="C30" s="148" t="s">
        <v>217</v>
      </c>
      <c r="D30" s="163">
        <f>'Ratios 2021'!D38</f>
        <v>0.230395101</v>
      </c>
      <c r="E30" s="163">
        <f>'Ratios 2022'!D38</f>
        <v>0.2358754018</v>
      </c>
      <c r="F30" s="163">
        <f>'Ratios 2023'!D38</f>
        <v>0.2476922347</v>
      </c>
      <c r="G30" s="181">
        <f>average(D30:F30)</f>
        <v>0.2379875791</v>
      </c>
      <c r="H30" s="150" t="s">
        <v>220</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221</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222</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259</v>
      </c>
      <c r="E34" s="45" t="s">
        <v>260</v>
      </c>
      <c r="F34" s="45" t="s">
        <v>261</v>
      </c>
      <c r="G34" s="59" t="s">
        <v>262</v>
      </c>
      <c r="H34" s="59"/>
      <c r="I34" s="43"/>
      <c r="J34" s="43"/>
      <c r="K34" s="43"/>
      <c r="L34" s="43"/>
      <c r="M34" s="43"/>
      <c r="N34" s="43"/>
      <c r="O34" s="43"/>
      <c r="P34" s="43"/>
      <c r="Q34" s="43"/>
      <c r="R34" s="43"/>
      <c r="S34" s="43"/>
      <c r="T34" s="43"/>
      <c r="U34" s="43"/>
      <c r="V34" s="43"/>
      <c r="W34" s="43"/>
      <c r="X34" s="43"/>
      <c r="Y34" s="43"/>
    </row>
    <row r="35">
      <c r="A35" s="139"/>
      <c r="B35" s="49"/>
      <c r="C35" s="148" t="s">
        <v>263</v>
      </c>
      <c r="D35" s="163">
        <f>'Ratios 2021'!E41</f>
        <v>0.7533145763</v>
      </c>
      <c r="E35" s="163">
        <f>'Ratios 2022'!E41</f>
        <v>0.757813009</v>
      </c>
      <c r="F35" s="163">
        <f>'Ratios 2023'!E41</f>
        <v>0.7513768621</v>
      </c>
      <c r="G35" s="181">
        <f t="shared" ref="G35:G37" si="1">average(D35:F35)</f>
        <v>0.7541681491</v>
      </c>
      <c r="H35" s="181"/>
      <c r="I35" s="43"/>
      <c r="J35" s="43"/>
      <c r="K35" s="43"/>
      <c r="L35" s="43"/>
      <c r="M35" s="43"/>
      <c r="N35" s="43"/>
      <c r="O35" s="43"/>
      <c r="P35" s="43"/>
      <c r="Q35" s="43"/>
      <c r="R35" s="43"/>
      <c r="S35" s="43"/>
      <c r="T35" s="43"/>
      <c r="U35" s="43"/>
      <c r="V35" s="43"/>
      <c r="W35" s="43"/>
      <c r="X35" s="43"/>
      <c r="Y35" s="43"/>
    </row>
    <row r="36">
      <c r="A36" s="139"/>
      <c r="B36" s="52"/>
      <c r="C36" s="148" t="s">
        <v>224</v>
      </c>
      <c r="D36" s="163">
        <f>'Ratios 2021'!E42</f>
        <v>0.04832845706</v>
      </c>
      <c r="E36" s="163">
        <f>'Ratios 2022'!E42</f>
        <v>0.04817526274</v>
      </c>
      <c r="F36" s="163">
        <f>'Ratios 2023'!E42</f>
        <v>0.05129794743</v>
      </c>
      <c r="G36" s="181">
        <f t="shared" si="1"/>
        <v>0.04926722241</v>
      </c>
      <c r="H36" s="181"/>
      <c r="I36" s="43"/>
      <c r="J36" s="43"/>
      <c r="K36" s="43"/>
      <c r="L36" s="43"/>
      <c r="M36" s="43"/>
      <c r="N36" s="43"/>
      <c r="O36" s="43"/>
      <c r="P36" s="43"/>
      <c r="Q36" s="43"/>
      <c r="R36" s="43"/>
      <c r="S36" s="43"/>
      <c r="T36" s="43"/>
      <c r="U36" s="43"/>
      <c r="V36" s="43"/>
      <c r="W36" s="43"/>
      <c r="X36" s="43"/>
      <c r="Y36" s="43"/>
    </row>
    <row r="37">
      <c r="A37" s="139"/>
      <c r="B37" s="182"/>
      <c r="C37" s="148" t="s">
        <v>225</v>
      </c>
      <c r="D37" s="163">
        <f>'Ratios 2021'!E43</f>
        <v>0.1983569667</v>
      </c>
      <c r="E37" s="163">
        <f>'Ratios 2022'!E43</f>
        <v>0.1940117282</v>
      </c>
      <c r="F37" s="163">
        <f>'Ratios 2023'!E43</f>
        <v>0.1973251905</v>
      </c>
      <c r="G37" s="181">
        <f t="shared" si="1"/>
        <v>0.1965646285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226</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227</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259</v>
      </c>
      <c r="E41" s="45" t="s">
        <v>260</v>
      </c>
      <c r="F41" s="45" t="s">
        <v>261</v>
      </c>
      <c r="G41" s="59" t="s">
        <v>262</v>
      </c>
      <c r="H41" s="59"/>
      <c r="I41" s="43"/>
      <c r="J41" s="43"/>
      <c r="K41" s="43"/>
      <c r="L41" s="43"/>
      <c r="M41" s="43"/>
      <c r="N41" s="43"/>
      <c r="O41" s="43"/>
      <c r="P41" s="43"/>
      <c r="Q41" s="43"/>
      <c r="R41" s="43"/>
      <c r="S41" s="43"/>
      <c r="T41" s="43"/>
      <c r="U41" s="43"/>
      <c r="V41" s="43"/>
      <c r="W41" s="43"/>
      <c r="X41" s="43"/>
      <c r="Y41" s="43"/>
    </row>
    <row r="42">
      <c r="A42" s="139"/>
      <c r="B42" s="49"/>
      <c r="C42" s="148" t="s">
        <v>230</v>
      </c>
      <c r="D42" s="166">
        <f>'Ratios 2021'!D49</f>
        <v>5.854924585</v>
      </c>
      <c r="E42" s="166">
        <f>'Ratios 2022'!D49</f>
        <v>5.127796528</v>
      </c>
      <c r="F42" s="166">
        <f>'Ratios 2023'!D49</f>
        <v>4.820467421</v>
      </c>
      <c r="G42" s="183">
        <f>average(D42:F42)</f>
        <v>5.267729511</v>
      </c>
      <c r="H42" s="150" t="s">
        <v>231</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232</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233</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259</v>
      </c>
      <c r="E46" s="45" t="s">
        <v>260</v>
      </c>
      <c r="F46" s="45" t="s">
        <v>261</v>
      </c>
      <c r="G46" s="59" t="s">
        <v>262</v>
      </c>
      <c r="H46" s="59"/>
      <c r="I46" s="43"/>
      <c r="J46" s="43"/>
      <c r="K46" s="43"/>
      <c r="L46" s="43"/>
      <c r="M46" s="43"/>
      <c r="N46" s="43"/>
      <c r="O46" s="43"/>
      <c r="P46" s="43"/>
      <c r="Q46" s="43"/>
      <c r="R46" s="43"/>
      <c r="S46" s="43"/>
      <c r="T46" s="43"/>
      <c r="U46" s="43"/>
      <c r="V46" s="43"/>
      <c r="W46" s="43"/>
      <c r="X46" s="43"/>
      <c r="Y46" s="43"/>
    </row>
    <row r="47">
      <c r="A47" s="139"/>
      <c r="B47" s="49"/>
      <c r="C47" s="148" t="s">
        <v>236</v>
      </c>
      <c r="D47" s="149">
        <f>'Ratios 2021'!D54</f>
        <v>6.026644975</v>
      </c>
      <c r="E47" s="149">
        <f>'Ratios 2022'!D54</f>
        <v>5.888718382</v>
      </c>
      <c r="F47" s="149">
        <f>'Ratios 2023'!D54</f>
        <v>4.804536825</v>
      </c>
      <c r="G47" s="177">
        <f>average(D47:F47)</f>
        <v>5.573300061</v>
      </c>
      <c r="H47" s="150" t="s">
        <v>237</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238</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239</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259</v>
      </c>
      <c r="E51" s="45" t="s">
        <v>260</v>
      </c>
      <c r="F51" s="45" t="s">
        <v>261</v>
      </c>
      <c r="G51" s="59" t="s">
        <v>262</v>
      </c>
      <c r="H51" s="59"/>
      <c r="I51" s="43"/>
      <c r="J51" s="43"/>
      <c r="K51" s="43"/>
      <c r="L51" s="43"/>
      <c r="M51" s="43"/>
      <c r="N51" s="43"/>
      <c r="O51" s="43"/>
      <c r="P51" s="43"/>
      <c r="Q51" s="43"/>
      <c r="R51" s="43"/>
      <c r="S51" s="43"/>
      <c r="T51" s="43"/>
      <c r="U51" s="43"/>
      <c r="V51" s="43"/>
      <c r="W51" s="43"/>
      <c r="X51" s="43"/>
      <c r="Y51" s="43"/>
    </row>
    <row r="52">
      <c r="A52" s="139"/>
      <c r="B52" s="49"/>
      <c r="C52" s="148" t="s">
        <v>242</v>
      </c>
      <c r="D52" s="184">
        <f>'Ratios 2021'!D59</f>
        <v>0</v>
      </c>
      <c r="E52" s="184">
        <f>'Ratios 2022'!D59</f>
        <v>0.04266488584</v>
      </c>
      <c r="F52" s="184">
        <f>'Ratios 2023'!D59</f>
        <v>0.03694873135</v>
      </c>
      <c r="G52" s="185">
        <f>average(D52:F52)</f>
        <v>0.0265378724</v>
      </c>
      <c r="H52" s="150" t="s">
        <v>243</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ASPCA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ASPCA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387361.0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191127.0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3.50671266E8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4909376.0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351249754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1.7343359E7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864353.0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378032.0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221871.0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43587.0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18851202</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6356976.0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3675877.0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2.3106497E7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1.3795812E7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9310685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9310685</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6062.0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112174.0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-106112</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369386.0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227117.0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103</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596503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389934885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ASPCA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10377501</v>
      </c>
      <c r="D3" s="99">
        <v>1.0377501E7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3896188</v>
      </c>
      <c r="D7" s="99">
        <v>1897075.0</v>
      </c>
      <c r="E7" s="99">
        <v>1280331.0</v>
      </c>
      <c r="F7" s="99">
        <v>718782.0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115</v>
      </c>
      <c r="C9" s="98">
        <f t="shared" si="1"/>
        <v>84084793</v>
      </c>
      <c r="D9" s="99">
        <v>7.1749125E7</v>
      </c>
      <c r="E9" s="99">
        <v>5268123.0</v>
      </c>
      <c r="F9" s="99">
        <v>7067545.0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4773717</v>
      </c>
      <c r="D10" s="99">
        <v>4087037.0</v>
      </c>
      <c r="E10" s="99">
        <v>275616.0</v>
      </c>
      <c r="F10" s="99">
        <v>411064.0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15496670</v>
      </c>
      <c r="D11" s="99">
        <v>1.3054932E7</v>
      </c>
      <c r="E11" s="99">
        <v>1053939.0</v>
      </c>
      <c r="F11" s="99">
        <v>1387799.0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6400823</v>
      </c>
      <c r="D12" s="99">
        <v>5374106.0</v>
      </c>
      <c r="E12" s="99">
        <v>450213.0</v>
      </c>
      <c r="F12" s="99">
        <v>576504.0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566388</v>
      </c>
      <c r="D14" s="99">
        <v>315110.0</v>
      </c>
      <c r="E14" s="99">
        <v>153479.0</v>
      </c>
      <c r="F14" s="99">
        <v>97799.0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1183958</v>
      </c>
      <c r="D15" s="99">
        <v>577938.0</v>
      </c>
      <c r="E15" s="99">
        <v>426780.0</v>
      </c>
      <c r="F15" s="99">
        <v>179240.0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746282</v>
      </c>
      <c r="D16" s="99">
        <v>0.0</v>
      </c>
      <c r="E16" s="99">
        <v>746282.0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395040</v>
      </c>
      <c r="D17" s="99">
        <v>395040.0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7045347</v>
      </c>
      <c r="D18" s="99">
        <v>0.0</v>
      </c>
      <c r="E18" s="99">
        <v>0.0</v>
      </c>
      <c r="F18" s="99">
        <v>7045347.0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817986</v>
      </c>
      <c r="D19" s="99">
        <v>0.0</v>
      </c>
      <c r="E19" s="99">
        <v>817986.0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21589687</v>
      </c>
      <c r="D20" s="99">
        <v>2.0381608E7</v>
      </c>
      <c r="E20" s="99">
        <v>393282.0</v>
      </c>
      <c r="F20" s="99">
        <v>814797.0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56578629</v>
      </c>
      <c r="D21" s="99">
        <v>3.662528E7</v>
      </c>
      <c r="E21" s="99">
        <v>122430.0</v>
      </c>
      <c r="F21" s="99">
        <v>1.9830919E7</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33961919</v>
      </c>
      <c r="D22" s="99">
        <v>2.2003059E7</v>
      </c>
      <c r="E22" s="99">
        <v>172599.0</v>
      </c>
      <c r="F22" s="99">
        <v>1.1786261E7</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19412702</v>
      </c>
      <c r="D23" s="99">
        <v>9996714.0</v>
      </c>
      <c r="E23" s="99">
        <v>731972.0</v>
      </c>
      <c r="F23" s="99">
        <v>8684016.0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6894381</v>
      </c>
      <c r="D25" s="99">
        <v>4277333.0</v>
      </c>
      <c r="E25" s="99">
        <v>1690375.0</v>
      </c>
      <c r="F25" s="99">
        <v>926673.0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5262608</v>
      </c>
      <c r="D26" s="99">
        <v>5178317.0</v>
      </c>
      <c r="E26" s="99">
        <v>41491.0</v>
      </c>
      <c r="F26" s="99">
        <v>42800.0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383776</v>
      </c>
      <c r="D28" s="99">
        <v>179397.0</v>
      </c>
      <c r="E28" s="99">
        <v>163605.0</v>
      </c>
      <c r="F28" s="99">
        <v>40774.0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6403504</v>
      </c>
      <c r="D31" s="99">
        <v>6089548.0</v>
      </c>
      <c r="E31" s="99">
        <v>203885.0</v>
      </c>
      <c r="F31" s="99">
        <v>110071.0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1803835</v>
      </c>
      <c r="D32" s="99">
        <v>1469277.0</v>
      </c>
      <c r="E32" s="99">
        <v>225412.0</v>
      </c>
      <c r="F32" s="99">
        <v>109146.0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102" t="s">
        <v>140</v>
      </c>
      <c r="C34" s="98">
        <f t="shared" si="1"/>
        <v>8182571</v>
      </c>
      <c r="D34" s="99">
        <v>8182571.0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141</v>
      </c>
      <c r="C35" s="98">
        <f t="shared" si="1"/>
        <v>2706893</v>
      </c>
      <c r="D35" s="99">
        <v>2628881.0</v>
      </c>
      <c r="E35" s="99">
        <v>35315.0</v>
      </c>
      <c r="F35" s="99">
        <v>42697.0</v>
      </c>
      <c r="G35" s="43"/>
      <c r="H35" s="43"/>
      <c r="I35" s="43"/>
      <c r="J35" s="43"/>
      <c r="K35" s="43"/>
      <c r="L35" s="43"/>
      <c r="M35" s="43"/>
      <c r="N35" s="43"/>
      <c r="O35" s="43"/>
      <c r="P35" s="43"/>
      <c r="Q35" s="43"/>
      <c r="R35" s="43"/>
      <c r="S35" s="43"/>
      <c r="T35" s="43"/>
      <c r="U35" s="43"/>
      <c r="V35" s="43"/>
      <c r="W35" s="43"/>
      <c r="X35" s="43"/>
      <c r="Y35" s="43"/>
      <c r="Z35" s="43"/>
    </row>
    <row r="36">
      <c r="A36" s="45" t="s">
        <v>50</v>
      </c>
      <c r="B36" s="103" t="s">
        <v>142</v>
      </c>
      <c r="C36" s="98">
        <f t="shared" si="1"/>
        <v>1981919</v>
      </c>
      <c r="D36" s="99">
        <v>1638642.0</v>
      </c>
      <c r="E36" s="99">
        <v>272234.0</v>
      </c>
      <c r="F36" s="99">
        <v>71043.0</v>
      </c>
      <c r="G36" s="43"/>
      <c r="H36" s="43"/>
      <c r="I36" s="43"/>
      <c r="J36" s="43"/>
      <c r="K36" s="43"/>
      <c r="L36" s="43"/>
      <c r="M36" s="43"/>
      <c r="N36" s="43"/>
      <c r="O36" s="43"/>
      <c r="P36" s="43"/>
      <c r="Q36" s="43"/>
      <c r="R36" s="43"/>
      <c r="S36" s="43"/>
      <c r="T36" s="43"/>
      <c r="U36" s="43"/>
      <c r="V36" s="43"/>
      <c r="W36" s="43"/>
      <c r="X36" s="43"/>
      <c r="Y36" s="43"/>
      <c r="Z36" s="43"/>
    </row>
    <row r="37">
      <c r="A37" s="45" t="s">
        <v>52</v>
      </c>
      <c r="B37" s="103" t="s">
        <v>143</v>
      </c>
      <c r="C37" s="98">
        <f t="shared" si="1"/>
        <v>1498479</v>
      </c>
      <c r="D37" s="99">
        <v>1358185.0</v>
      </c>
      <c r="E37" s="99">
        <v>91380.0</v>
      </c>
      <c r="F37" s="99">
        <v>48914.0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4">
        <f t="shared" ref="C40:F40" si="2">sum(C3:C39)</f>
        <v>302445596</v>
      </c>
      <c r="D40" s="104">
        <f t="shared" si="2"/>
        <v>227836676</v>
      </c>
      <c r="E40" s="104">
        <f t="shared" si="2"/>
        <v>14616729</v>
      </c>
      <c r="F40" s="104">
        <f t="shared" si="2"/>
        <v>59992191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ASPCA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146</v>
      </c>
      <c r="B2" s="45">
        <v>1.0</v>
      </c>
      <c r="C2" s="46" t="s">
        <v>147</v>
      </c>
      <c r="D2" s="111"/>
      <c r="E2" s="112">
        <v>1.1948498E7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3"/>
      <c r="E3" s="112">
        <v>9.3754904E7</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1"/>
      <c r="E4" s="112">
        <v>2.4284914E7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3"/>
      <c r="E5" s="112">
        <v>5189016.0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1"/>
      <c r="E10" s="112">
        <v>7037598.0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2">
        <v>1.2250558E8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2">
        <v>5.8046299E7</v>
      </c>
      <c r="E12" s="109">
        <f>D11-D12</f>
        <v>64459281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3"/>
      <c r="E13" s="112">
        <v>2.47993558E8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3"/>
      <c r="E14" s="112">
        <v>6.3868453E7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3"/>
      <c r="E17" s="112">
        <v>5.654427E7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4"/>
      <c r="E18" s="115">
        <f>sum(E2:E17)</f>
        <v>575080492</v>
      </c>
      <c r="F18" s="43"/>
      <c r="G18" s="43"/>
      <c r="H18" s="43"/>
      <c r="I18" s="43"/>
      <c r="J18" s="43"/>
      <c r="K18" s="43"/>
      <c r="L18" s="43"/>
      <c r="M18" s="43"/>
      <c r="N18" s="43"/>
      <c r="O18" s="43"/>
      <c r="P18" s="43"/>
      <c r="Q18" s="43"/>
      <c r="R18" s="43"/>
      <c r="S18" s="43"/>
      <c r="T18" s="43"/>
      <c r="U18" s="43"/>
      <c r="V18" s="43"/>
      <c r="W18" s="43"/>
      <c r="X18" s="43"/>
      <c r="Y18" s="43"/>
      <c r="Z18" s="43"/>
    </row>
    <row r="19">
      <c r="A19" s="44" t="s">
        <v>166</v>
      </c>
      <c r="B19" s="116">
        <v>17.0</v>
      </c>
      <c r="C19" s="117" t="s">
        <v>167</v>
      </c>
      <c r="D19" s="118"/>
      <c r="E19" s="112">
        <v>2.1011449E7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168</v>
      </c>
      <c r="D20" s="118"/>
      <c r="E20" s="112">
        <v>2586246.0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175</v>
      </c>
      <c r="D27" s="118"/>
      <c r="E27" s="119">
        <v>4.3234686E7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176</v>
      </c>
      <c r="D28" s="126"/>
      <c r="E28" s="127">
        <f>sum(E19:E27)</f>
        <v>66832381</v>
      </c>
      <c r="F28" s="43"/>
      <c r="G28" s="43"/>
      <c r="H28" s="43"/>
      <c r="I28" s="43"/>
      <c r="J28" s="43"/>
      <c r="K28" s="43"/>
      <c r="L28" s="43"/>
      <c r="M28" s="43"/>
      <c r="N28" s="43"/>
      <c r="O28" s="43"/>
      <c r="P28" s="43"/>
      <c r="Q28" s="43"/>
      <c r="R28" s="43"/>
      <c r="S28" s="43"/>
      <c r="T28" s="43"/>
      <c r="U28" s="43"/>
      <c r="V28" s="43"/>
      <c r="W28" s="43"/>
      <c r="X28" s="43"/>
      <c r="Y28" s="43"/>
      <c r="Z28" s="43"/>
    </row>
    <row r="29">
      <c r="A29" s="65" t="s">
        <v>177</v>
      </c>
      <c r="B29" s="128"/>
      <c r="C29" s="129" t="s">
        <v>178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179</v>
      </c>
      <c r="D30" s="118"/>
      <c r="E30" s="112">
        <v>4.24064683E8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180</v>
      </c>
      <c r="D31" s="118"/>
      <c r="E31" s="112">
        <v>8.4183428E7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185</v>
      </c>
      <c r="D36" s="132"/>
      <c r="E36" s="127">
        <f>sum(E30:E35)</f>
        <v>508248111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186</v>
      </c>
      <c r="D37" s="136"/>
      <c r="E37" s="137">
        <f>E36+E28</f>
        <v>575080492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ASPCA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188</v>
      </c>
      <c r="C3" s="145" t="s">
        <v>189</v>
      </c>
      <c r="D3" s="146">
        <f>'Expenses 2021'!C40</f>
        <v>302445596</v>
      </c>
      <c r="E3" s="147"/>
      <c r="F3" s="43"/>
      <c r="G3" s="43"/>
      <c r="H3" s="43"/>
      <c r="I3" s="43"/>
      <c r="J3" s="43"/>
      <c r="K3" s="43"/>
      <c r="L3" s="43"/>
      <c r="M3" s="43"/>
      <c r="N3" s="43"/>
      <c r="O3" s="43"/>
      <c r="P3" s="43"/>
      <c r="Q3" s="43"/>
      <c r="R3" s="43"/>
      <c r="S3" s="43"/>
      <c r="T3" s="43"/>
      <c r="U3" s="43"/>
      <c r="V3" s="43"/>
      <c r="W3" s="43"/>
      <c r="X3" s="43"/>
      <c r="Y3" s="43"/>
    </row>
    <row r="4">
      <c r="A4" s="139"/>
      <c r="B4" s="49"/>
      <c r="C4" s="145" t="s">
        <v>190</v>
      </c>
      <c r="D4" s="146">
        <f>'Expenses 2021'!C31</f>
        <v>6403504</v>
      </c>
      <c r="E4" s="147"/>
      <c r="F4" s="43"/>
      <c r="G4" s="43"/>
      <c r="H4" s="43"/>
      <c r="I4" s="43"/>
      <c r="J4" s="43"/>
      <c r="K4" s="43"/>
      <c r="L4" s="43"/>
      <c r="M4" s="43"/>
      <c r="N4" s="43"/>
      <c r="O4" s="43"/>
      <c r="P4" s="43"/>
      <c r="Q4" s="43"/>
      <c r="R4" s="43"/>
      <c r="S4" s="43"/>
      <c r="T4" s="43"/>
      <c r="U4" s="43"/>
      <c r="V4" s="43"/>
      <c r="W4" s="43"/>
      <c r="X4" s="43"/>
      <c r="Y4" s="43"/>
    </row>
    <row r="5">
      <c r="A5" s="139"/>
      <c r="B5" s="49"/>
      <c r="C5" s="145" t="s">
        <v>191</v>
      </c>
      <c r="D5" s="146">
        <f>D3-D4</f>
        <v>296042092</v>
      </c>
      <c r="E5" s="147"/>
      <c r="F5" s="43"/>
      <c r="G5" s="43"/>
      <c r="H5" s="43"/>
      <c r="I5" s="43"/>
      <c r="J5" s="43"/>
      <c r="K5" s="43"/>
      <c r="L5" s="43"/>
      <c r="M5" s="43"/>
      <c r="N5" s="43"/>
      <c r="O5" s="43"/>
      <c r="P5" s="43"/>
      <c r="Q5" s="43"/>
      <c r="R5" s="43"/>
      <c r="S5" s="43"/>
      <c r="T5" s="43"/>
      <c r="U5" s="43"/>
      <c r="V5" s="43"/>
      <c r="W5" s="43"/>
      <c r="X5" s="43"/>
      <c r="Y5" s="43"/>
    </row>
    <row r="6">
      <c r="A6" s="139"/>
      <c r="B6" s="49"/>
      <c r="C6" s="145" t="s">
        <v>192</v>
      </c>
      <c r="D6" s="146">
        <f>D5/12</f>
        <v>24670174.33</v>
      </c>
      <c r="E6" s="147"/>
      <c r="F6" s="43"/>
      <c r="G6" s="43"/>
      <c r="H6" s="43"/>
      <c r="I6" s="43"/>
      <c r="J6" s="43"/>
      <c r="K6" s="43"/>
      <c r="L6" s="43"/>
      <c r="M6" s="43"/>
      <c r="N6" s="43"/>
      <c r="O6" s="43"/>
      <c r="P6" s="43"/>
      <c r="Q6" s="43"/>
      <c r="R6" s="43"/>
      <c r="S6" s="43"/>
      <c r="T6" s="43"/>
      <c r="U6" s="43"/>
      <c r="V6" s="43"/>
      <c r="W6" s="43"/>
      <c r="X6" s="43"/>
      <c r="Y6" s="43"/>
    </row>
    <row r="7">
      <c r="A7" s="139"/>
      <c r="B7" s="49"/>
      <c r="C7" s="145" t="s">
        <v>193</v>
      </c>
      <c r="D7" s="75">
        <f>'Balance Sheet 2021'!E2+'Balance Sheet 2021'!E3</f>
        <v>105703402</v>
      </c>
      <c r="E7" s="147"/>
      <c r="F7" s="43"/>
      <c r="G7" s="43"/>
      <c r="H7" s="43"/>
      <c r="I7" s="43"/>
      <c r="J7" s="43"/>
      <c r="K7" s="43"/>
      <c r="L7" s="43"/>
      <c r="M7" s="43"/>
      <c r="N7" s="43"/>
      <c r="O7" s="43"/>
      <c r="P7" s="43"/>
      <c r="Q7" s="43"/>
      <c r="R7" s="43"/>
      <c r="S7" s="43"/>
      <c r="T7" s="43"/>
      <c r="U7" s="43"/>
      <c r="V7" s="43"/>
      <c r="W7" s="43"/>
      <c r="X7" s="43"/>
      <c r="Y7" s="43"/>
    </row>
    <row r="8">
      <c r="A8" s="139"/>
      <c r="B8" s="49"/>
      <c r="C8" s="148" t="s">
        <v>187</v>
      </c>
      <c r="D8" s="149">
        <f>D7/D6</f>
        <v>4.284663763</v>
      </c>
      <c r="E8" s="150" t="s">
        <v>194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196</v>
      </c>
      <c r="C11" s="145" t="s">
        <v>197</v>
      </c>
      <c r="D11" s="75">
        <f>'Balance Sheet 2021'!E30</f>
        <v>424064683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198</v>
      </c>
      <c r="D12" s="75">
        <f>'Expenses 2021'!C40</f>
        <v>302445596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199</v>
      </c>
      <c r="D13" s="146">
        <f>D12/12</f>
        <v>25203799.67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195</v>
      </c>
      <c r="D14" s="149">
        <f>D11/D13</f>
        <v>16.82542667</v>
      </c>
      <c r="E14" s="150" t="s">
        <v>194</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201</v>
      </c>
      <c r="C17" s="145" t="s">
        <v>202</v>
      </c>
      <c r="D17" s="75">
        <f>sum('Balance Sheet 2021'!E13:E15)</f>
        <v>311862011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198</v>
      </c>
      <c r="D18" s="75">
        <f>'Expenses 2021'!C40</f>
        <v>302445596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199</v>
      </c>
      <c r="D19" s="146">
        <f>D18/12</f>
        <v>25203799.67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203</v>
      </c>
      <c r="D20" s="149">
        <f>D17/D19</f>
        <v>12.37361093</v>
      </c>
      <c r="E20" s="150" t="s">
        <v>194</v>
      </c>
      <c r="F20" s="43"/>
      <c r="G20" s="43"/>
      <c r="H20" s="43"/>
      <c r="I20" s="43"/>
      <c r="J20" s="43"/>
      <c r="K20" s="43"/>
      <c r="L20" s="43"/>
      <c r="M20" s="43"/>
      <c r="N20" s="43"/>
      <c r="O20" s="43"/>
      <c r="P20" s="43"/>
      <c r="Q20" s="43"/>
      <c r="R20" s="43"/>
      <c r="S20" s="43"/>
      <c r="T20" s="43"/>
      <c r="U20" s="43"/>
      <c r="V20" s="43"/>
      <c r="W20" s="43"/>
      <c r="X20" s="43"/>
      <c r="Y20" s="43"/>
    </row>
    <row r="21">
      <c r="A21" s="139"/>
      <c r="B21" s="49"/>
      <c r="C21" s="154" t="s">
        <v>204</v>
      </c>
      <c r="D21" s="155">
        <f>D20+D8</f>
        <v>16.65827469</v>
      </c>
      <c r="E21" s="156" t="s">
        <v>194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206</v>
      </c>
      <c r="C24" s="160"/>
      <c r="D24" s="161">
        <f>max('Revenues 2021'!E2:E7,'Revenues 2021'!F10:F15)</f>
        <v>350671266</v>
      </c>
      <c r="E24" s="162" t="s">
        <v>207</v>
      </c>
      <c r="F24" s="43"/>
      <c r="G24" s="43"/>
      <c r="H24" s="43"/>
      <c r="I24" s="43"/>
      <c r="J24" s="43"/>
      <c r="K24" s="43"/>
      <c r="L24" s="43"/>
      <c r="M24" s="43"/>
      <c r="N24" s="43"/>
      <c r="O24" s="43"/>
      <c r="P24" s="43"/>
      <c r="Q24" s="43"/>
      <c r="R24" s="43"/>
      <c r="S24" s="43"/>
      <c r="T24" s="43"/>
      <c r="U24" s="43"/>
      <c r="V24" s="43"/>
      <c r="W24" s="43"/>
      <c r="X24" s="43"/>
      <c r="Y24" s="43"/>
    </row>
    <row r="25">
      <c r="A25" s="139"/>
      <c r="B25" s="49"/>
      <c r="C25" s="145" t="s">
        <v>208</v>
      </c>
      <c r="D25" s="146">
        <f>'Revenues 2021'!F44</f>
        <v>389934885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205</v>
      </c>
      <c r="D26" s="163">
        <f>D24/D25</f>
        <v>0.899307242</v>
      </c>
      <c r="E26" s="150" t="s">
        <v>209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211</v>
      </c>
      <c r="C29" s="145" t="s">
        <v>212</v>
      </c>
      <c r="D29" s="75">
        <f>SUM('Expenses 2021'!C7:C9)</f>
        <v>87980981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213</v>
      </c>
      <c r="D30" s="75">
        <f>SUM('Expenses 2021'!C10:C12)</f>
        <v>26671210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214</v>
      </c>
      <c r="D31" s="75">
        <f>sum(D29:D30)</f>
        <v>114652191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189</v>
      </c>
      <c r="D32" s="75">
        <f>'Expenses 2021'!C40</f>
        <v>302445596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215</v>
      </c>
      <c r="D33" s="163">
        <f>D31/D32</f>
        <v>0.3790836849</v>
      </c>
      <c r="E33" s="150" t="s">
        <v>216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218</v>
      </c>
      <c r="C36" s="145" t="s">
        <v>219</v>
      </c>
      <c r="D36" s="75">
        <f>SUM('Expenses 2021'!C10:C11)</f>
        <v>20270387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212</v>
      </c>
      <c r="D37" s="75">
        <f>SUM('Expenses 2021'!C7:C9)</f>
        <v>87980981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217</v>
      </c>
      <c r="D38" s="163">
        <f>D36/D37</f>
        <v>0.230395101</v>
      </c>
      <c r="E38" s="150" t="s">
        <v>220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222</v>
      </c>
      <c r="C41" s="148" t="s">
        <v>223</v>
      </c>
      <c r="D41" s="75">
        <f>'Expenses 2021'!D40</f>
        <v>227836676</v>
      </c>
      <c r="E41" s="165">
        <f t="shared" ref="E41:E44" si="1">D41/$D$44</f>
        <v>0.7533145763</v>
      </c>
      <c r="F41" s="43"/>
      <c r="G41" s="43"/>
      <c r="H41" s="43"/>
      <c r="I41" s="43"/>
      <c r="J41" s="43"/>
      <c r="K41" s="43"/>
      <c r="L41" s="43"/>
      <c r="M41" s="43"/>
      <c r="N41" s="43"/>
      <c r="O41" s="43"/>
      <c r="P41" s="43"/>
      <c r="Q41" s="43"/>
      <c r="R41" s="43"/>
      <c r="S41" s="43"/>
      <c r="T41" s="43"/>
      <c r="U41" s="43"/>
      <c r="V41" s="43"/>
      <c r="W41" s="43"/>
      <c r="X41" s="43"/>
      <c r="Y41" s="43"/>
    </row>
    <row r="42">
      <c r="A42" s="139"/>
      <c r="B42" s="49"/>
      <c r="C42" s="148" t="s">
        <v>224</v>
      </c>
      <c r="D42" s="146">
        <f>'Expenses 2021'!E40</f>
        <v>14616729</v>
      </c>
      <c r="E42" s="165">
        <f t="shared" si="1"/>
        <v>0.04832845706</v>
      </c>
      <c r="F42" s="43"/>
      <c r="G42" s="43"/>
      <c r="H42" s="43"/>
      <c r="I42" s="43"/>
      <c r="J42" s="43"/>
      <c r="K42" s="43"/>
      <c r="L42" s="43"/>
      <c r="M42" s="43"/>
      <c r="N42" s="43"/>
      <c r="O42" s="43"/>
      <c r="P42" s="43"/>
      <c r="Q42" s="43"/>
      <c r="R42" s="43"/>
      <c r="S42" s="43"/>
      <c r="T42" s="43"/>
      <c r="U42" s="43"/>
      <c r="V42" s="43"/>
      <c r="W42" s="43"/>
      <c r="X42" s="43"/>
      <c r="Y42" s="43"/>
    </row>
    <row r="43">
      <c r="A43" s="139"/>
      <c r="B43" s="49"/>
      <c r="C43" s="148" t="s">
        <v>225</v>
      </c>
      <c r="D43" s="146">
        <f>'Expenses 2021'!F40</f>
        <v>59992191</v>
      </c>
      <c r="E43" s="165">
        <f t="shared" si="1"/>
        <v>0.1983569667</v>
      </c>
      <c r="F43" s="43"/>
      <c r="G43" s="43"/>
      <c r="H43" s="43"/>
      <c r="I43" s="43"/>
      <c r="J43" s="43"/>
      <c r="K43" s="43"/>
      <c r="L43" s="43"/>
      <c r="M43" s="43"/>
      <c r="N43" s="43"/>
      <c r="O43" s="43"/>
      <c r="P43" s="43"/>
      <c r="Q43" s="43"/>
      <c r="R43" s="43"/>
      <c r="S43" s="43"/>
      <c r="T43" s="43"/>
      <c r="U43" s="43"/>
      <c r="V43" s="43"/>
      <c r="W43" s="43"/>
      <c r="X43" s="43"/>
      <c r="Y43" s="43"/>
    </row>
    <row r="44">
      <c r="A44" s="139"/>
      <c r="B44" s="49"/>
      <c r="C44" s="145" t="s">
        <v>189</v>
      </c>
      <c r="D44" s="146">
        <f>sum(D41:D43)</f>
        <v>302445596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227</v>
      </c>
      <c r="C47" s="145" t="s">
        <v>228</v>
      </c>
      <c r="D47" s="146">
        <f>'Revenues 2021'!F9</f>
        <v>351249754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229</v>
      </c>
      <c r="D48" s="146">
        <f>'Expenses 2021'!F40</f>
        <v>59992191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230</v>
      </c>
      <c r="D49" s="166">
        <f>D47/D48</f>
        <v>5.854924585</v>
      </c>
      <c r="E49" s="150" t="s">
        <v>231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233</v>
      </c>
      <c r="C52" s="145" t="s">
        <v>234</v>
      </c>
      <c r="D52" s="146">
        <f>sum('Balance Sheet 2021'!E2:E10)</f>
        <v>142214930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235</v>
      </c>
      <c r="D53" s="146">
        <f>sum('Balance Sheet 2021'!E19:E22)</f>
        <v>23597695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236</v>
      </c>
      <c r="D54" s="168">
        <f>D52/D53</f>
        <v>6.026644975</v>
      </c>
      <c r="E54" s="150" t="s">
        <v>237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239</v>
      </c>
      <c r="C57" s="145" t="s">
        <v>240</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241</v>
      </c>
      <c r="D58" s="146">
        <f>'Balance Sheet 2021'!E18</f>
        <v>575080492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242</v>
      </c>
      <c r="D59" s="169">
        <f>D57/D58</f>
        <v>0</v>
      </c>
      <c r="E59" s="150" t="s">
        <v>243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ASPCA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423672.0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312150.0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3.3781977E8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4330472.0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338555592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2.0200293E7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695060.0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523457.0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412021.0</v>
      </c>
      <c r="G13" s="172"/>
      <c r="H13" s="43"/>
      <c r="J13" s="172"/>
      <c r="K13" s="43"/>
      <c r="L13" s="43"/>
      <c r="M13" s="43"/>
      <c r="N13" s="43"/>
      <c r="O13" s="43"/>
      <c r="P13" s="43"/>
      <c r="Q13" s="43"/>
      <c r="R13" s="43"/>
      <c r="S13" s="43"/>
      <c r="T13" s="43"/>
      <c r="U13" s="43"/>
      <c r="V13" s="43"/>
      <c r="W13" s="43"/>
      <c r="X13" s="43"/>
      <c r="Y13" s="43"/>
      <c r="Z13" s="43"/>
    </row>
    <row r="14">
      <c r="A14" s="49"/>
      <c r="B14" s="45" t="s">
        <v>54</v>
      </c>
      <c r="C14" s="174" t="s">
        <v>68</v>
      </c>
      <c r="D14" s="61"/>
      <c r="E14" s="61"/>
      <c r="F14" s="62">
        <v>88579.0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21919410</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6638147.0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3668140.0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244</v>
      </c>
      <c r="D26" s="50">
        <v>8.3085955E7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7.9436384E7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3649571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3649571</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109000.0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233534.0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-124534</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245</v>
      </c>
      <c r="D39" s="74"/>
      <c r="E39" s="48">
        <v>1617493.0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492497.0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2109990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104</v>
      </c>
      <c r="D44" s="88"/>
      <c r="E44" s="88"/>
      <c r="F44" s="89">
        <f>sum(F16:F43)+F9</f>
        <v>376416316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ASPCA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80">
        <v>1.0</v>
      </c>
      <c r="B3" s="96" t="s">
        <v>109</v>
      </c>
      <c r="C3" s="98">
        <f t="shared" ref="C3:C39" si="1">sum(D3:F3)</f>
        <v>11769279</v>
      </c>
      <c r="D3" s="99">
        <v>1.1769279E7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110</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111</v>
      </c>
      <c r="C5" s="98">
        <f t="shared" si="1"/>
        <v>90000</v>
      </c>
      <c r="D5" s="99">
        <v>90000.0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112</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113</v>
      </c>
      <c r="C7" s="98">
        <f t="shared" si="1"/>
        <v>4494228</v>
      </c>
      <c r="D7" s="99">
        <v>2091832.0</v>
      </c>
      <c r="E7" s="99">
        <v>1695850.0</v>
      </c>
      <c r="F7" s="99">
        <v>706546.0</v>
      </c>
      <c r="G7" s="43"/>
      <c r="H7" s="43"/>
      <c r="I7" s="43"/>
      <c r="J7" s="43"/>
      <c r="K7" s="43"/>
      <c r="L7" s="43"/>
      <c r="M7" s="43"/>
      <c r="N7" s="43"/>
      <c r="O7" s="43"/>
      <c r="P7" s="43"/>
      <c r="Q7" s="43"/>
      <c r="R7" s="43"/>
      <c r="S7" s="43"/>
      <c r="T7" s="43"/>
      <c r="U7" s="43"/>
      <c r="V7" s="43"/>
      <c r="W7" s="43"/>
      <c r="X7" s="43"/>
      <c r="Y7" s="43"/>
      <c r="Z7" s="43"/>
    </row>
    <row r="8">
      <c r="A8" s="80">
        <v>6.0</v>
      </c>
      <c r="B8" s="96" t="s">
        <v>114</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115</v>
      </c>
      <c r="C9" s="98">
        <f t="shared" si="1"/>
        <v>97183797</v>
      </c>
      <c r="D9" s="99">
        <v>8.2902433E7</v>
      </c>
      <c r="E9" s="99">
        <v>5814853.0</v>
      </c>
      <c r="F9" s="99">
        <v>8466511.0</v>
      </c>
      <c r="G9" s="43"/>
      <c r="H9" s="43"/>
      <c r="I9" s="43"/>
      <c r="J9" s="43"/>
      <c r="K9" s="43"/>
      <c r="L9" s="43"/>
      <c r="M9" s="43"/>
      <c r="N9" s="43"/>
      <c r="O9" s="43"/>
      <c r="P9" s="43"/>
      <c r="Q9" s="43"/>
      <c r="R9" s="43"/>
      <c r="S9" s="43"/>
      <c r="T9" s="43"/>
      <c r="U9" s="43"/>
      <c r="V9" s="43"/>
      <c r="W9" s="43"/>
      <c r="X9" s="43"/>
      <c r="Y9" s="43"/>
      <c r="Z9" s="43"/>
    </row>
    <row r="10">
      <c r="A10" s="80">
        <v>8.0</v>
      </c>
      <c r="B10" s="96" t="s">
        <v>116</v>
      </c>
      <c r="C10" s="98">
        <f t="shared" si="1"/>
        <v>5501061</v>
      </c>
      <c r="D10" s="99">
        <v>4705561.0</v>
      </c>
      <c r="E10" s="99">
        <v>301469.0</v>
      </c>
      <c r="F10" s="99">
        <v>494031.0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8">
        <f t="shared" si="1"/>
        <v>18482284</v>
      </c>
      <c r="D11" s="99">
        <v>1.550828E7</v>
      </c>
      <c r="E11" s="99">
        <v>1275356.0</v>
      </c>
      <c r="F11" s="99">
        <v>1698648.0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8">
        <f t="shared" si="1"/>
        <v>7236005</v>
      </c>
      <c r="D12" s="99">
        <v>6055165.0</v>
      </c>
      <c r="E12" s="99">
        <v>513565.0</v>
      </c>
      <c r="F12" s="99">
        <v>667275.0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8">
        <f t="shared" si="1"/>
        <v>633518</v>
      </c>
      <c r="D14" s="99">
        <v>228333.0</v>
      </c>
      <c r="E14" s="99">
        <v>318450.0</v>
      </c>
      <c r="F14" s="99">
        <v>86735.0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8">
        <f t="shared" si="1"/>
        <v>1100754</v>
      </c>
      <c r="D15" s="99">
        <v>588166.0</v>
      </c>
      <c r="E15" s="99">
        <v>383503.0</v>
      </c>
      <c r="F15" s="99">
        <v>129085.0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8">
        <f t="shared" si="1"/>
        <v>487330</v>
      </c>
      <c r="D16" s="99">
        <v>0.0</v>
      </c>
      <c r="E16" s="99">
        <v>487330.0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8">
        <f t="shared" si="1"/>
        <v>435664</v>
      </c>
      <c r="D17" s="99">
        <v>435664.0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8">
        <f t="shared" si="1"/>
        <v>9319040</v>
      </c>
      <c r="D18" s="99">
        <v>0.0</v>
      </c>
      <c r="E18" s="99">
        <v>0.0</v>
      </c>
      <c r="F18" s="99">
        <v>9319040.0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8">
        <f t="shared" si="1"/>
        <v>780937</v>
      </c>
      <c r="D19" s="99">
        <v>0.0</v>
      </c>
      <c r="E19" s="99">
        <v>780937.0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8">
        <f t="shared" si="1"/>
        <v>26393337</v>
      </c>
      <c r="D20" s="99">
        <v>2.4679149E7</v>
      </c>
      <c r="E20" s="99">
        <v>456959.0</v>
      </c>
      <c r="F20" s="99">
        <v>1257229.0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8">
        <f t="shared" si="1"/>
        <v>56432835</v>
      </c>
      <c r="D21" s="99">
        <v>3.7113703E7</v>
      </c>
      <c r="E21" s="99">
        <v>127527.0</v>
      </c>
      <c r="F21" s="99">
        <v>1.9191605E7</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8">
        <f t="shared" si="1"/>
        <v>37283669</v>
      </c>
      <c r="D22" s="99">
        <v>2.3724708E7</v>
      </c>
      <c r="E22" s="99">
        <v>209130.0</v>
      </c>
      <c r="F22" s="99">
        <v>1.3349831E7</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8">
        <f t="shared" si="1"/>
        <v>20763974</v>
      </c>
      <c r="D23" s="99">
        <v>1.0671016E7</v>
      </c>
      <c r="E23" s="99">
        <v>776153.0</v>
      </c>
      <c r="F23" s="99">
        <v>9316805.0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8">
        <f t="shared" si="1"/>
        <v>7478029</v>
      </c>
      <c r="D25" s="99">
        <v>4865084.0</v>
      </c>
      <c r="E25" s="99">
        <v>1799145.0</v>
      </c>
      <c r="F25" s="99">
        <v>813800.0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8">
        <f t="shared" si="1"/>
        <v>6731834</v>
      </c>
      <c r="D26" s="99">
        <v>6571154.0</v>
      </c>
      <c r="E26" s="99">
        <v>84168.0</v>
      </c>
      <c r="F26" s="99">
        <v>76512.0</v>
      </c>
      <c r="G26" s="43"/>
      <c r="H26" s="43"/>
      <c r="I26" s="43"/>
      <c r="J26" s="43"/>
      <c r="K26" s="43"/>
      <c r="L26" s="43"/>
      <c r="M26" s="43"/>
      <c r="N26" s="43"/>
      <c r="O26" s="43"/>
      <c r="P26" s="43"/>
      <c r="Q26" s="43"/>
      <c r="R26" s="43"/>
      <c r="S26" s="43"/>
      <c r="T26" s="43"/>
      <c r="U26" s="43"/>
      <c r="V26" s="43"/>
      <c r="W26" s="43"/>
      <c r="X26" s="43"/>
      <c r="Y26" s="43"/>
      <c r="Z26" s="43"/>
    </row>
    <row r="27">
      <c r="A27" s="80">
        <v>18.0</v>
      </c>
      <c r="B27" s="96" t="s">
        <v>133</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8">
        <f t="shared" si="1"/>
        <v>610518</v>
      </c>
      <c r="D28" s="99">
        <v>575882.0</v>
      </c>
      <c r="E28" s="99">
        <v>22066.0</v>
      </c>
      <c r="F28" s="99">
        <v>12570.0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8">
        <f t="shared" si="1"/>
        <v>404053</v>
      </c>
      <c r="D29" s="99">
        <v>0.0</v>
      </c>
      <c r="E29" s="99">
        <v>404053.0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8">
        <f t="shared" si="1"/>
        <v>6882085</v>
      </c>
      <c r="D31" s="99">
        <v>6551840.0</v>
      </c>
      <c r="E31" s="99">
        <v>234030.0</v>
      </c>
      <c r="F31" s="99">
        <v>96215.0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8">
        <f t="shared" si="1"/>
        <v>2092450</v>
      </c>
      <c r="D32" s="99">
        <v>1776649.0</v>
      </c>
      <c r="E32" s="99">
        <v>229359.0</v>
      </c>
      <c r="F32" s="99">
        <v>86442.0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120</v>
      </c>
      <c r="B34" s="60" t="s">
        <v>246</v>
      </c>
      <c r="C34" s="98">
        <f t="shared" si="1"/>
        <v>9694999</v>
      </c>
      <c r="D34" s="99">
        <v>9589673.0</v>
      </c>
      <c r="E34" s="99">
        <v>1930.0</v>
      </c>
      <c r="F34" s="99">
        <v>103396.0</v>
      </c>
      <c r="G34" s="43"/>
      <c r="H34" s="43"/>
      <c r="I34" s="43"/>
      <c r="J34" s="43"/>
      <c r="K34" s="43"/>
      <c r="L34" s="43"/>
      <c r="M34" s="43"/>
      <c r="N34" s="43"/>
      <c r="O34" s="43"/>
      <c r="P34" s="43"/>
      <c r="Q34" s="43"/>
      <c r="R34" s="43"/>
      <c r="S34" s="43"/>
      <c r="T34" s="43"/>
      <c r="U34" s="43"/>
      <c r="V34" s="43"/>
      <c r="W34" s="43"/>
      <c r="X34" s="43"/>
      <c r="Y34" s="43"/>
      <c r="Z34" s="43"/>
    </row>
    <row r="35">
      <c r="A35" s="45" t="s">
        <v>48</v>
      </c>
      <c r="B35" s="60" t="s">
        <v>247</v>
      </c>
      <c r="C35" s="98">
        <f t="shared" si="1"/>
        <v>3529288</v>
      </c>
      <c r="D35" s="99">
        <v>3433315.0</v>
      </c>
      <c r="E35" s="99">
        <v>49474.0</v>
      </c>
      <c r="F35" s="99">
        <v>46499.0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2968513</v>
      </c>
      <c r="D36" s="99">
        <v>2583345.0</v>
      </c>
      <c r="E36" s="99">
        <v>325029.0</v>
      </c>
      <c r="F36" s="99">
        <v>60139.0</v>
      </c>
      <c r="G36" s="43"/>
      <c r="H36" s="43"/>
      <c r="I36" s="43"/>
      <c r="J36" s="43"/>
      <c r="K36" s="43"/>
      <c r="L36" s="43"/>
      <c r="M36" s="43"/>
      <c r="N36" s="43"/>
      <c r="O36" s="43"/>
      <c r="P36" s="43"/>
      <c r="Q36" s="43"/>
      <c r="R36" s="43"/>
      <c r="S36" s="43"/>
      <c r="T36" s="43"/>
      <c r="U36" s="43"/>
      <c r="V36" s="43"/>
      <c r="W36" s="43"/>
      <c r="X36" s="43"/>
      <c r="Y36" s="43"/>
      <c r="Z36" s="43"/>
    </row>
    <row r="37">
      <c r="A37" s="45" t="s">
        <v>52</v>
      </c>
      <c r="B37" s="60" t="s">
        <v>249</v>
      </c>
      <c r="C37" s="98">
        <f t="shared" si="1"/>
        <v>1527786</v>
      </c>
      <c r="D37" s="99">
        <v>1379043.0</v>
      </c>
      <c r="E37" s="99">
        <v>104056.0</v>
      </c>
      <c r="F37" s="99">
        <v>44687.0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4">
        <f t="shared" ref="C40:F40" si="2">sum(C3:C39)</f>
        <v>340307267</v>
      </c>
      <c r="D40" s="104">
        <f t="shared" si="2"/>
        <v>257889274</v>
      </c>
      <c r="E40" s="104">
        <f t="shared" si="2"/>
        <v>16394392</v>
      </c>
      <c r="F40" s="104">
        <f t="shared" si="2"/>
        <v>66023601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ASPCA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146</v>
      </c>
      <c r="B2" s="45">
        <v>1.0</v>
      </c>
      <c r="C2" s="46" t="s">
        <v>147</v>
      </c>
      <c r="D2" s="111"/>
      <c r="E2" s="112">
        <v>1.4719776E7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3"/>
      <c r="E3" s="112">
        <v>6.9232049E7</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1"/>
      <c r="E4" s="112">
        <v>2.3094158E7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3"/>
      <c r="E5" s="112">
        <v>5370085.0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1"/>
      <c r="E10" s="112">
        <v>4996962.0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2">
        <v>1.38729036E8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2">
        <v>6.1564157E7</v>
      </c>
      <c r="E12" s="109">
        <f>D11-D12</f>
        <v>77164879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3"/>
      <c r="E13" s="112">
        <v>2.63165358E8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3"/>
      <c r="E14" s="112">
        <v>6.6664894E7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3"/>
      <c r="E17" s="112">
        <v>5.1333049E7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4"/>
      <c r="E18" s="115">
        <f>sum(E2:E17)</f>
        <v>575741210</v>
      </c>
      <c r="F18" s="43"/>
      <c r="G18" s="43"/>
      <c r="H18" s="43"/>
      <c r="I18" s="43"/>
      <c r="J18" s="43"/>
      <c r="K18" s="43"/>
      <c r="L18" s="43"/>
      <c r="M18" s="43"/>
      <c r="N18" s="43"/>
      <c r="O18" s="43"/>
      <c r="P18" s="43"/>
      <c r="Q18" s="43"/>
      <c r="R18" s="43"/>
      <c r="S18" s="43"/>
      <c r="T18" s="43"/>
      <c r="U18" s="43"/>
      <c r="V18" s="43"/>
      <c r="W18" s="43"/>
      <c r="X18" s="43"/>
      <c r="Y18" s="43"/>
      <c r="Z18" s="43"/>
    </row>
    <row r="19">
      <c r="A19" s="44" t="s">
        <v>166</v>
      </c>
      <c r="B19" s="116">
        <v>17.0</v>
      </c>
      <c r="C19" s="117" t="s">
        <v>167</v>
      </c>
      <c r="D19" s="118"/>
      <c r="E19" s="112">
        <v>1.8864852E7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168</v>
      </c>
      <c r="D20" s="118"/>
      <c r="E20" s="112">
        <v>1073787.0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174</v>
      </c>
      <c r="D26" s="118"/>
      <c r="E26" s="119">
        <v>2.4563933E7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175</v>
      </c>
      <c r="D27" s="118"/>
      <c r="E27" s="119">
        <v>4.3241501E7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176</v>
      </c>
      <c r="D28" s="126"/>
      <c r="E28" s="127">
        <f>sum(E19:E27)</f>
        <v>87744073</v>
      </c>
      <c r="F28" s="43"/>
      <c r="G28" s="43"/>
      <c r="H28" s="43"/>
      <c r="I28" s="43"/>
      <c r="J28" s="43"/>
      <c r="K28" s="43"/>
      <c r="L28" s="43"/>
      <c r="M28" s="43"/>
      <c r="N28" s="43"/>
      <c r="O28" s="43"/>
      <c r="P28" s="43"/>
      <c r="Q28" s="43"/>
      <c r="R28" s="43"/>
      <c r="S28" s="43"/>
      <c r="T28" s="43"/>
      <c r="U28" s="43"/>
      <c r="V28" s="43"/>
      <c r="W28" s="43"/>
      <c r="X28" s="43"/>
      <c r="Y28" s="43"/>
      <c r="Z28" s="43"/>
    </row>
    <row r="29">
      <c r="A29" s="65" t="s">
        <v>177</v>
      </c>
      <c r="B29" s="128"/>
      <c r="C29" s="129" t="s">
        <v>178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179</v>
      </c>
      <c r="D30" s="118"/>
      <c r="E30" s="112">
        <v>4.07751614E8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180</v>
      </c>
      <c r="D31" s="118"/>
      <c r="E31" s="112">
        <v>8.0245523E7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185</v>
      </c>
      <c r="D36" s="132"/>
      <c r="E36" s="127">
        <f>sum(E30:E35)</f>
        <v>487997137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186</v>
      </c>
      <c r="D37" s="136"/>
      <c r="E37" s="137">
        <f>E36+E28</f>
        <v>575741210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