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<sst xmlns="http://schemas.openxmlformats.org/spreadsheetml/2006/main" count="868" uniqueCount="248">
  <si>
    <t>GRANTMAKERS IN HEALTH</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</si>
  <si>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</si>
  <si>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</si>
  <si>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</si>
  <si>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</si>
  <si>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</si>
  <si>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</si>
  <si>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</si>
  <si>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</si>
  <si>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</si>
  <si>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</si>
  <si>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</si>
  <si>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</si>
  <si>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</si>
  <si>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</si>
  <si>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</si>
  <si>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</si>
  <si>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</si>
  <si>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</si>
  <si>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</si>
  <si>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</si>
  <si>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</si>
  <si>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</si>
  <si>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</si>
  <si>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</si>
  <si>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</si>
  <si>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</si>
  <si>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</si>
  <si>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</si>
  <si>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</si>
  <si>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</si>
  <si>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</si>
  <si>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</si>
  <si>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</si>
  <si>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</si>
  <si>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</si>
  <si>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</si>
  <si>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</si>
  <si>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</si>
  <si>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</si>
  <si>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</si>
  <si>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</si>
  <si>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</si>
  <si>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</si>
  <si>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</si>
  <si>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</si>
  <si>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</si>
  <si>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</si>
  <si>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</si>
  <si>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</si>
  <si>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</si>
  <si>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</si>
  <si>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</si>
  <si>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</si>
  <si>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</si>
  <si>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</si>
  <si>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</si>
  <si>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</si>
  <si>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</si>
  <si>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</si>
  <si>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</si>
  <si>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</si>
  <si>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</si>
  <si>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</si>
  <si>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REGISTRATION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</si>
  <si>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</si>
  <si>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</si>
  <si>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</si>
  <si>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</si>
  <si>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</si>
  <si>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</si>
  <si>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</si>
  <si>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</si>
  <si>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</si>
  <si>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</si>
  <si>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</si>
  <si>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</si>
  <si>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</si>
  <si>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</si>
  <si>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</si>
  <si>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</si>
  <si>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</si>
  <si>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</si>
  <si>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</si>
  <si>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</si>
  <si>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</si>
  <si>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</si>
  <si>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</si>
  <si>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</si>
  <si>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</si>
  <si>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</si>
  <si>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</si>
  <si>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</si>
  <si>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</si>
  <si>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</si>
  <si>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</si>
  <si>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</si>
  <si>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</si>
  <si>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</si>
  <si>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</si>
  <si>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</si>
  <si>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</si>
  <si>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</si>
  <si>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</si>
  <si>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</si>
  <si>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</si>
  <si>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</si>
  <si>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</si>
  <si>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</si>
  <si>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</si>
  <si>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</si>
  <si>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</si>
  <si>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</si>
  <si>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</si>
  <si>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</si>
  <si>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</si>
  <si>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</si>
  <si>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</si>
  <si>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</si>
  <si>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</si>
  <si>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</si>
  <si>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</si>
  <si>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</si>
  <si>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</si>
  <si>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</si>
  <si>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</si>
  <si>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</si>
  <si>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</si>
  <si>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</si>
  <si>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</si>
  <si>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</si>
  <si>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</si>
  <si>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</si>
  <si>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</si>
  <si>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</si>
  <si>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OTHER OPERATING EXPENSE</t>
  </si>
  <si>
    <t>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</si>
  <si>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</si>
  <si>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</si>
  <si>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</si>
  <si>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</si>
  <si>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</si>
  <si>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</si>
  <si>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</si>
  <si>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</si>
  <si>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</si>
  <si>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</si>
  <si>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</si>
  <si>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</si>
  <si>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</si>
  <si>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</si>
  <si>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</si>
  <si>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</si>
  <si>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</si>
  <si>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</si>
  <si>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</si>
  <si>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</si>
  <si>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</si>
  <si>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</si>
  <si>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</si>
  <si>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</si>
  <si>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</si>
  <si>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</si>
  <si>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</si>
  <si>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</si>
  <si>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</si>
  <si>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</si>
  <si>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</si>
  <si>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</si>
  <si>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</si>
  <si>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</si>
  <si>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</si>
  <si>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</si>
  <si>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</si>
  <si>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</si>
  <si>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</si>
  <si>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</si>
  <si>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</si>
  <si>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</si>
  <si>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</si>
  <si>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</si>
  <si>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</si>
  <si>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</si>
  <si>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</si>
  <si>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</si>
  <si>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</si>
  <si>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</si>
  <si>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</si>
  <si>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</si>
  <si>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</si>
  <si>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</si>
  <si>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</si>
  <si>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</si>
  <si>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</si>
  <si>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</si>
  <si>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</si>
  <si>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</si>
  <si>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</si>
  <si>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</si>
  <si>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</si>
  <si>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</si>
  <si>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</si>
  <si>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</si>
  <si>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</si>
  <si>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</si>
  <si>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</si>
  <si>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</si>
  <si>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</si>
  <si>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</si>
  <si>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</si>
  <si>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</si>
  <si>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</si>
  <si>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</si>
  <si>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</si>
  <si>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</si>
  <si>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</si>
  <si>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</si>
  <si>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</si>
  <si>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</si>
  <si>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</si>
  <si>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</si>
  <si>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</si>
  <si>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</si>
  <si>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</si>
  <si>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</si>
  <si>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</si>
  <si>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</si>
  <si>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</si>
  <si>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</si>
  <si>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</si>
  <si>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</si>
  <si>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</si>
  <si>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</si>
  <si>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</si>
  <si>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</si>
  <si>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</si>
  <si>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</si>
  <si>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</si>
  <si>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HONARIA REVENUE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</si>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</sst>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GRANTMAKERS IN HEALTH</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2023'!C40</f>
        <v>4738733</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2023'!C31</f>
        <v>384028</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4354705</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362892.0833</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2023'!E2+'Balance Sheet 2023'!E3</f>
        <v>6639430</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18.29587997</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2023'!E30</f>
        <v>10241859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2023'!C40</f>
        <v>4738733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394894.4167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25.93568956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2023'!E13:E15)</f>
        <v>7672080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2023'!C40</f>
        <v>4738733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394894.4167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19.42818049</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37.72406046</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2023'!E2:E7,'Revenues 2023'!F10:F15)</f>
        <v>2652532</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2023'!F44</f>
        <v>3619239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0.7328977169</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2023'!C7:C9)</f>
        <v>2195423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2023'!C10:C12)</f>
        <v>523469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2718892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2023'!C40</f>
        <v>4738733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0.5737592728</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2023'!C10:C11)</f>
        <v>364766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2023'!C7:C9)</f>
        <v>2195423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0.1661483914</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239</v>
      </c>
      <c r="D41" s="75">
        <f>'Expenses 2023'!D40</f>
        <v>2368199</v>
      </c>
      <c r="E41" s="164">
        <f t="shared" ref="E41:E44" si="1">D41/$D$44</f>
        <v>0.4997536261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2023'!E40</f>
        <v>2185043</v>
      </c>
      <c r="E42" s="164">
        <f t="shared" si="1"/>
        <v>0.4611027884</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2023'!F40</f>
        <v>185491</v>
      </c>
      <c r="E43" s="164">
        <f t="shared" si="1"/>
        <v>0.03914358543</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4738733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2023'!F9</f>
        <v>2652532</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2023'!F40</f>
        <v>185491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14.30005768</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2023'!E2:E10)</f>
        <v>7595939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2023'!E19:E22)</f>
        <v>452307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16.79376839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2023'!E18</f>
        <v>15448462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GRANTMAKERS IN HEALTH</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5214121.0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5214121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638303.0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638303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1787200.0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45565.0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238</v>
      </c>
      <c r="D40" s="74"/>
      <c r="E40" s="48">
        <v>22000.0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67565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7707189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GRANTMAKERS IN HEALTH</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1284535</v>
      </c>
      <c r="D7" s="99">
        <v>703797.0</v>
      </c>
      <c r="E7" s="99">
        <v>486402.0</v>
      </c>
      <c r="F7" s="99">
        <v>94336.0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1001043</v>
      </c>
      <c r="D9" s="99">
        <v>548471.0</v>
      </c>
      <c r="E9" s="99">
        <v>379055.0</v>
      </c>
      <c r="F9" s="99">
        <v>73517.0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248120</v>
      </c>
      <c r="D10" s="99">
        <v>135945.0</v>
      </c>
      <c r="E10" s="99">
        <v>93953.0</v>
      </c>
      <c r="F10" s="99">
        <v>18222.0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166714</v>
      </c>
      <c r="D11" s="99">
        <v>91343.0</v>
      </c>
      <c r="E11" s="99">
        <v>63128.0</v>
      </c>
      <c r="F11" s="99">
        <v>12243.0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170772</v>
      </c>
      <c r="D12" s="99">
        <v>93566.0</v>
      </c>
      <c r="E12" s="99">
        <v>64664.0</v>
      </c>
      <c r="F12" s="99">
        <v>12542.0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447174</v>
      </c>
      <c r="D14" s="99">
        <v>69188.0</v>
      </c>
      <c r="E14" s="99">
        <v>377986.0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3306</v>
      </c>
      <c r="D15" s="99">
        <v>0.0</v>
      </c>
      <c r="E15" s="99">
        <v>3306.0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130645</v>
      </c>
      <c r="D16" s="99">
        <v>0.0</v>
      </c>
      <c r="E16" s="99">
        <v>130645.0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26227</v>
      </c>
      <c r="D21" s="99">
        <v>17246.0</v>
      </c>
      <c r="E21" s="99">
        <v>7522.0</v>
      </c>
      <c r="F21" s="99">
        <v>1459.0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529416</v>
      </c>
      <c r="D22" s="99">
        <v>308591.0</v>
      </c>
      <c r="E22" s="99">
        <v>184954.0</v>
      </c>
      <c r="F22" s="99">
        <v>35871.0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170076</v>
      </c>
      <c r="D26" s="99">
        <v>99981.0</v>
      </c>
      <c r="E26" s="99">
        <v>70095.0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1246928</v>
      </c>
      <c r="D28" s="99">
        <v>1208175.0</v>
      </c>
      <c r="E28" s="99">
        <v>32458.0</v>
      </c>
      <c r="F28" s="99">
        <v>6295.0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31396</v>
      </c>
      <c r="D31" s="99">
        <v>17202.0</v>
      </c>
      <c r="E31" s="99">
        <v>11888.0</v>
      </c>
      <c r="F31" s="99">
        <v>2306.0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47091</v>
      </c>
      <c r="D34" s="99">
        <v>32311.0</v>
      </c>
      <c r="E34" s="99">
        <v>12379.0</v>
      </c>
      <c r="F34" s="99">
        <v>2401.0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4146</v>
      </c>
      <c r="D35" s="99">
        <v>0.0</v>
      </c>
      <c r="E35" s="99">
        <v>4146.0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5507589</v>
      </c>
      <c r="D40" s="103">
        <f t="shared" si="2"/>
        <v>3325816</v>
      </c>
      <c r="E40" s="103">
        <f t="shared" si="2"/>
        <v>1922581</v>
      </c>
      <c r="F40" s="103">
        <f t="shared" si="2"/>
        <v>259192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GRANTMAKERS IN HEALTH</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1709851.0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1813660.0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139810.0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287857.0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138810.0</v>
      </c>
      <c r="E12" s="108">
        <f>D11-D12</f>
        <v>149047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1.066797E7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1984483.0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16464821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386867.0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2244660.0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2631527</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1.013027E7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3703024.0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13833294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16464821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GRANTMAKERS IN HEALTH</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2024'!C40</f>
        <v>5507589</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2024'!C31</f>
        <v>31396</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5476193</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456349.4167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2024'!E2+'Balance Sheet 2024'!E3</f>
        <v>1709851</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3.746802204</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2024'!E30</f>
        <v>10130270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2024'!C40</f>
        <v>5507589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458965.75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22.07195199</v>
      </c>
      <c r="E14" s="149" t="s">
        <v>187</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2024'!E13:E15)</f>
        <v>10667970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2024'!C40</f>
        <v>5507589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458965.75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23.24349911</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26.99030131</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2024'!E2:E7,'Revenues 2024'!F10:F15)</f>
        <v>5214121</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2024'!F44</f>
        <v>7707189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0.6765269413</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2024'!C7:C9)</f>
        <v>2285578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2024'!C10:C12)</f>
        <v>585606</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2871184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2024'!C40</f>
        <v>5507589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0.5213141358</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2024'!C10:C11)</f>
        <v>414834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2024'!C7:C9)</f>
        <v>2285578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0.181500697</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241</v>
      </c>
      <c r="D41" s="75">
        <f>'Expenses 2024'!D40</f>
        <v>3325816</v>
      </c>
      <c r="E41" s="164">
        <f t="shared" ref="E41:E44" si="1">D41/$D$44</f>
        <v>0.6038606003</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2024'!E40</f>
        <v>1922581</v>
      </c>
      <c r="E42" s="164">
        <f t="shared" si="1"/>
        <v>0.3490785169</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2024'!F40</f>
        <v>259192</v>
      </c>
      <c r="E43" s="164">
        <f t="shared" si="1"/>
        <v>0.04706088272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5507589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2024'!F9</f>
        <v>5214121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2024'!F40</f>
        <v>259192</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20.11682845</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2024'!E2:E10)</f>
        <v>3663321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2024'!E19:E22)</f>
        <v>386867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9.469200009</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2024'!E18</f>
        <v>16464821</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GRANTMAKERS IN HEALTH</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180</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181</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180</v>
      </c>
      <c r="D5" s="176">
        <f>'Ratios 2022'!D8</f>
        <v>16.70019608</v>
      </c>
      <c r="E5" s="176">
        <f>'Ratios 2023'!D8</f>
        <v>18.29587997</v>
      </c>
      <c r="F5" s="176">
        <f>'Ratios 2024'!D8</f>
        <v>3.746802204</v>
      </c>
      <c r="G5" s="176">
        <f>average(D5:F5)</f>
        <v>12.91429275</v>
      </c>
      <c r="H5" s="149" t="s">
        <v>187</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188</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189</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188</v>
      </c>
      <c r="D10" s="148">
        <f>'Ratios 2022'!D14</f>
        <v>23.05149636</v>
      </c>
      <c r="E10" s="148">
        <f>'Ratios 2023'!D14</f>
        <v>25.93568956</v>
      </c>
      <c r="F10" s="148">
        <f>'Ratios 2024'!D14</f>
        <v>22.07195199</v>
      </c>
      <c r="G10" s="176">
        <f>average(D10:F10)</f>
        <v>23.6863793</v>
      </c>
      <c r="H10" s="149" t="s">
        <v>187</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193</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194</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196</v>
      </c>
      <c r="D15" s="179">
        <f>'Ratios 2022'!D20</f>
        <v>17.97488318</v>
      </c>
      <c r="E15" s="179">
        <f>'Ratios 2023'!D20</f>
        <v>19.42818049</v>
      </c>
      <c r="F15" s="179">
        <f>'Ratios 2024'!D20</f>
        <v>23.24349911</v>
      </c>
      <c r="G15" s="176">
        <f>average(D15:F15)</f>
        <v>20.21552092</v>
      </c>
      <c r="H15" s="149" t="s">
        <v>187</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198</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199</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198</v>
      </c>
      <c r="D20" s="162">
        <f>'Ratios 2022'!D26</f>
        <v>0.9456560813</v>
      </c>
      <c r="E20" s="162">
        <f>'Ratios 2023'!D26</f>
        <v>0.7328977169</v>
      </c>
      <c r="F20" s="162">
        <f>'Ratios 2024'!D26</f>
        <v>0.6765269413</v>
      </c>
      <c r="G20" s="180">
        <f>average(D20:F20)</f>
        <v>0.7850269132</v>
      </c>
      <c r="H20" s="149" t="s">
        <v>202</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203</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204</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208</v>
      </c>
      <c r="D25" s="162">
        <f>'Ratios 2022'!D33</f>
        <v>0.5544926378</v>
      </c>
      <c r="E25" s="162">
        <f>'Ratios 2023'!D33</f>
        <v>0.5737592728</v>
      </c>
      <c r="F25" s="162">
        <f>'Ratios 2024'!D33</f>
        <v>0.5213141358</v>
      </c>
      <c r="G25" s="180">
        <f>average(D25:F25)</f>
        <v>0.5498553488</v>
      </c>
      <c r="H25" s="149" t="s">
        <v>209</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210</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211</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210</v>
      </c>
      <c r="D30" s="162">
        <f>'Ratios 2022'!D38</f>
        <v>0</v>
      </c>
      <c r="E30" s="162">
        <f>'Ratios 2023'!D38</f>
        <v>0.1661483914</v>
      </c>
      <c r="F30" s="162">
        <f>'Ratios 2024'!D38</f>
        <v>0.181500697</v>
      </c>
      <c r="G30" s="180">
        <f>average(D30:F30)</f>
        <v>0.1158830295</v>
      </c>
      <c r="H30" s="149" t="s">
        <v>213</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214</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215</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2022'!E41</f>
        <v>0.5102678261</v>
      </c>
      <c r="E35" s="162">
        <f>'Ratios 2023'!E41</f>
        <v>0.4997536261</v>
      </c>
      <c r="F35" s="162">
        <f>'Ratios 2024'!E41</f>
        <v>0.6038606003</v>
      </c>
      <c r="G35" s="180">
        <f t="shared" ref="G35:G37" si="1">average(D35:F35)</f>
        <v>0.5379606842</v>
      </c>
      <c r="H35" s="180"/>
      <c r="I35" s="43"/>
      <c r="J35" s="43"/>
      <c r="K35" s="43"/>
      <c r="L35" s="43"/>
      <c r="M35" s="43"/>
      <c r="N35" s="43"/>
      <c r="O35" s="43"/>
      <c r="P35" s="43"/>
      <c r="Q35" s="43"/>
      <c r="R35" s="43"/>
      <c r="S35" s="43"/>
      <c r="T35" s="43"/>
      <c r="U35" s="43"/>
      <c r="V35" s="43"/>
      <c r="W35" s="43"/>
      <c r="X35" s="43"/>
      <c r="Y35" s="43"/>
    </row>
    <row r="36">
      <c r="A36" s="138"/>
      <c r="B36" s="52"/>
      <c r="C36" s="147" t="s">
        <v>217</v>
      </c>
      <c r="D36" s="162">
        <f>'Ratios 2022'!E42</f>
        <v>0.4494562251</v>
      </c>
      <c r="E36" s="162">
        <f>'Ratios 2023'!E42</f>
        <v>0.4611027884</v>
      </c>
      <c r="F36" s="162">
        <f>'Ratios 2024'!E42</f>
        <v>0.3490785169</v>
      </c>
      <c r="G36" s="180">
        <f t="shared" si="1"/>
        <v>0.4198791768</v>
      </c>
      <c r="H36" s="180"/>
      <c r="I36" s="43"/>
      <c r="J36" s="43"/>
      <c r="K36" s="43"/>
      <c r="L36" s="43"/>
      <c r="M36" s="43"/>
      <c r="N36" s="43"/>
      <c r="O36" s="43"/>
      <c r="P36" s="43"/>
      <c r="Q36" s="43"/>
      <c r="R36" s="43"/>
      <c r="S36" s="43"/>
      <c r="T36" s="43"/>
      <c r="U36" s="43"/>
      <c r="V36" s="43"/>
      <c r="W36" s="43"/>
      <c r="X36" s="43"/>
      <c r="Y36" s="43"/>
    </row>
    <row r="37">
      <c r="A37" s="138"/>
      <c r="B37" s="181"/>
      <c r="C37" s="147" t="s">
        <v>218</v>
      </c>
      <c r="D37" s="162">
        <f>'Ratios 2022'!E43</f>
        <v>0.04027594882</v>
      </c>
      <c r="E37" s="162">
        <f>'Ratios 2023'!E43</f>
        <v>0.03914358543</v>
      </c>
      <c r="F37" s="162">
        <f>'Ratios 2024'!E43</f>
        <v>0.04706088272</v>
      </c>
      <c r="G37" s="180">
        <f t="shared" si="1"/>
        <v>0.04216013899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219</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220</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223</v>
      </c>
      <c r="D42" s="165">
        <f>'Ratios 2022'!D49</f>
        <v>47.68033583</v>
      </c>
      <c r="E42" s="165">
        <f>'Ratios 2023'!D49</f>
        <v>14.30005768</v>
      </c>
      <c r="F42" s="165">
        <f>'Ratios 2024'!D49</f>
        <v>20.11682845</v>
      </c>
      <c r="G42" s="182">
        <f>average(D42:F42)</f>
        <v>27.36574066</v>
      </c>
      <c r="H42" s="149" t="s">
        <v>224</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225</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226</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229</v>
      </c>
      <c r="D47" s="148">
        <f>'Ratios 2022'!D54</f>
        <v>20.35249493</v>
      </c>
      <c r="E47" s="148">
        <f>'Ratios 2023'!D54</f>
        <v>16.79376839</v>
      </c>
      <c r="F47" s="148">
        <f>'Ratios 2024'!D54</f>
        <v>9.469200009</v>
      </c>
      <c r="G47" s="176">
        <f>average(D47:F47)</f>
        <v>15.53848778</v>
      </c>
      <c r="H47" s="149" t="s">
        <v>230</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231</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232</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235</v>
      </c>
      <c r="D52" s="183">
        <f>'Ratios 2022'!D59</f>
        <v>0</v>
      </c>
      <c r="E52" s="183">
        <f>'Ratios 2023'!D59</f>
        <v>0</v>
      </c>
      <c r="F52" s="183">
        <f>'Ratios 2024'!D59</f>
        <v>0</v>
      </c>
      <c r="G52" s="184">
        <f>average(D52:F52)</f>
        <v>0</v>
      </c>
      <c r="H52" s="149" t="s">
        <v>236</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GRANTMAKERS IN HEALTH</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GRANTMAKERS IN HEALTH</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9080863.0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9080863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387843.0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387843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94663.0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5014.0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-5014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-5014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44357.0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44357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9602712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GRANTMAKERS IN HEALTH</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2622031</v>
      </c>
      <c r="D7" s="99">
        <v>1287574.0</v>
      </c>
      <c r="E7" s="99">
        <v>1189524.0</v>
      </c>
      <c r="F7" s="99">
        <v>144933.0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481986</v>
      </c>
      <c r="D14" s="99">
        <v>39831.0</v>
      </c>
      <c r="E14" s="99">
        <v>442155.0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56532</v>
      </c>
      <c r="D21" s="99">
        <v>29315.0</v>
      </c>
      <c r="E21" s="99">
        <v>24211.0</v>
      </c>
      <c r="F21" s="99">
        <v>3006.0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225916</v>
      </c>
      <c r="D22" s="99">
        <v>113760.0</v>
      </c>
      <c r="E22" s="99">
        <v>99772.0</v>
      </c>
      <c r="F22" s="99">
        <v>12384.0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85216</v>
      </c>
      <c r="D26" s="99">
        <v>16624.0</v>
      </c>
      <c r="E26" s="99">
        <v>68592.0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793084</v>
      </c>
      <c r="D28" s="99">
        <v>699443.0</v>
      </c>
      <c r="E28" s="99">
        <v>88937.0</v>
      </c>
      <c r="F28" s="99">
        <v>4704.0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293831</v>
      </c>
      <c r="D31" s="99">
        <v>145510.0</v>
      </c>
      <c r="E31" s="99">
        <v>131939.0</v>
      </c>
      <c r="F31" s="99">
        <v>16382.0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162744</v>
      </c>
      <c r="D34" s="99">
        <v>80848.0</v>
      </c>
      <c r="E34" s="99">
        <v>72852.0</v>
      </c>
      <c r="F34" s="99">
        <v>9044.0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7363</v>
      </c>
      <c r="D35" s="99">
        <v>0.0</v>
      </c>
      <c r="E35" s="99">
        <v>7363.0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4728703</v>
      </c>
      <c r="D40" s="103">
        <f t="shared" si="2"/>
        <v>2412905</v>
      </c>
      <c r="E40" s="103">
        <f t="shared" si="2"/>
        <v>2125345</v>
      </c>
      <c r="F40" s="103">
        <f t="shared" si="2"/>
        <v>190453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GRANTMAKERS IN HEALTH</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6171936.0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2662113.0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11186.0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287857.0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76017.0</v>
      </c>
      <c r="E12" s="108">
        <f>D11-D12</f>
        <v>211840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4571978.0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2511179.0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16140232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424602.0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10000.0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2793238.0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3227840</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9083640.0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3828752.0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12912392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16140232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GRANTMAKERS IN HEALTH</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180</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181</v>
      </c>
      <c r="C3" s="144" t="s">
        <v>182</v>
      </c>
      <c r="D3" s="145">
        <f>'Expenses 2022'!C40</f>
        <v>4728703</v>
      </c>
      <c r="E3" s="146"/>
      <c r="F3" s="43"/>
      <c r="G3" s="43"/>
      <c r="H3" s="43"/>
      <c r="I3" s="43"/>
      <c r="J3" s="43"/>
      <c r="K3" s="43"/>
      <c r="L3" s="43"/>
      <c r="M3" s="43"/>
      <c r="N3" s="43"/>
      <c r="O3" s="43"/>
      <c r="P3" s="43"/>
      <c r="Q3" s="43"/>
      <c r="R3" s="43"/>
      <c r="S3" s="43"/>
      <c r="T3" s="43"/>
      <c r="U3" s="43"/>
      <c r="V3" s="43"/>
      <c r="W3" s="43"/>
      <c r="X3" s="43"/>
      <c r="Y3" s="43"/>
    </row>
    <row r="4">
      <c r="A4" s="138"/>
      <c r="B4" s="49"/>
      <c r="C4" s="144" t="s">
        <v>183</v>
      </c>
      <c r="D4" s="145">
        <f>'Expenses 2022'!C31</f>
        <v>293831</v>
      </c>
      <c r="E4" s="146"/>
      <c r="F4" s="43"/>
      <c r="G4" s="43"/>
      <c r="H4" s="43"/>
      <c r="I4" s="43"/>
      <c r="J4" s="43"/>
      <c r="K4" s="43"/>
      <c r="L4" s="43"/>
      <c r="M4" s="43"/>
      <c r="N4" s="43"/>
      <c r="O4" s="43"/>
      <c r="P4" s="43"/>
      <c r="Q4" s="43"/>
      <c r="R4" s="43"/>
      <c r="S4" s="43"/>
      <c r="T4" s="43"/>
      <c r="U4" s="43"/>
      <c r="V4" s="43"/>
      <c r="W4" s="43"/>
      <c r="X4" s="43"/>
      <c r="Y4" s="43"/>
    </row>
    <row r="5">
      <c r="A5" s="138"/>
      <c r="B5" s="49"/>
      <c r="C5" s="144" t="s">
        <v>184</v>
      </c>
      <c r="D5" s="145">
        <f>D3-D4</f>
        <v>4434872</v>
      </c>
      <c r="E5" s="146"/>
      <c r="F5" s="43"/>
      <c r="G5" s="43"/>
      <c r="H5" s="43"/>
      <c r="I5" s="43"/>
      <c r="J5" s="43"/>
      <c r="K5" s="43"/>
      <c r="L5" s="43"/>
      <c r="M5" s="43"/>
      <c r="N5" s="43"/>
      <c r="O5" s="43"/>
      <c r="P5" s="43"/>
      <c r="Q5" s="43"/>
      <c r="R5" s="43"/>
      <c r="S5" s="43"/>
      <c r="T5" s="43"/>
      <c r="U5" s="43"/>
      <c r="V5" s="43"/>
      <c r="W5" s="43"/>
      <c r="X5" s="43"/>
      <c r="Y5" s="43"/>
    </row>
    <row r="6">
      <c r="A6" s="138"/>
      <c r="B6" s="49"/>
      <c r="C6" s="144" t="s">
        <v>185</v>
      </c>
      <c r="D6" s="145">
        <f>D5/12</f>
        <v>369572.6667</v>
      </c>
      <c r="E6" s="146"/>
      <c r="F6" s="43"/>
      <c r="G6" s="43"/>
      <c r="H6" s="43"/>
      <c r="I6" s="43"/>
      <c r="J6" s="43"/>
      <c r="K6" s="43"/>
      <c r="L6" s="43"/>
      <c r="M6" s="43"/>
      <c r="N6" s="43"/>
      <c r="O6" s="43"/>
      <c r="P6" s="43"/>
      <c r="Q6" s="43"/>
      <c r="R6" s="43"/>
      <c r="S6" s="43"/>
      <c r="T6" s="43"/>
      <c r="U6" s="43"/>
      <c r="V6" s="43"/>
      <c r="W6" s="43"/>
      <c r="X6" s="43"/>
      <c r="Y6" s="43"/>
    </row>
    <row r="7">
      <c r="A7" s="138"/>
      <c r="B7" s="49"/>
      <c r="C7" s="144" t="s">
        <v>186</v>
      </c>
      <c r="D7" s="75">
        <f>'Balance Sheet 2022'!E2+'Balance Sheet 2022'!E3</f>
        <v>6171936</v>
      </c>
      <c r="E7" s="146"/>
      <c r="F7" s="43"/>
      <c r="G7" s="43"/>
      <c r="H7" s="43"/>
      <c r="I7" s="43"/>
      <c r="J7" s="43"/>
      <c r="K7" s="43"/>
      <c r="L7" s="43"/>
      <c r="M7" s="43"/>
      <c r="N7" s="43"/>
      <c r="O7" s="43"/>
      <c r="P7" s="43"/>
      <c r="Q7" s="43"/>
      <c r="R7" s="43"/>
      <c r="S7" s="43"/>
      <c r="T7" s="43"/>
      <c r="U7" s="43"/>
      <c r="V7" s="43"/>
      <c r="W7" s="43"/>
      <c r="X7" s="43"/>
      <c r="Y7" s="43"/>
    </row>
    <row r="8">
      <c r="A8" s="138"/>
      <c r="B8" s="49"/>
      <c r="C8" s="147" t="s">
        <v>180</v>
      </c>
      <c r="D8" s="148">
        <f>D7/D6</f>
        <v>16.70019608</v>
      </c>
      <c r="E8" s="149" t="s">
        <v>187</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188</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189</v>
      </c>
      <c r="C11" s="144" t="s">
        <v>190</v>
      </c>
      <c r="D11" s="75">
        <f>'Balance Sheet 2022'!E30</f>
        <v>9083640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191</v>
      </c>
      <c r="D12" s="75">
        <f>'Expenses 2022'!C40</f>
        <v>4728703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192</v>
      </c>
      <c r="D13" s="145">
        <f>D12/12</f>
        <v>394058.5833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188</v>
      </c>
      <c r="D14" s="148">
        <f>D11/D13</f>
        <v>23.05149636</v>
      </c>
      <c r="E14" s="149" t="s">
        <v>187</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193</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194</v>
      </c>
      <c r="C17" s="144" t="s">
        <v>195</v>
      </c>
      <c r="D17" s="75">
        <f>sum('Balance Sheet 2022'!E13:E15)</f>
        <v>7083157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191</v>
      </c>
      <c r="D18" s="75">
        <f>'Expenses 2022'!C40</f>
        <v>4728703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192</v>
      </c>
      <c r="D19" s="145">
        <f>D18/12</f>
        <v>394058.5833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196</v>
      </c>
      <c r="D20" s="148">
        <f>D17/D19</f>
        <v>17.97488318</v>
      </c>
      <c r="E20" s="149" t="s">
        <v>187</v>
      </c>
      <c r="F20" s="43"/>
      <c r="G20" s="43"/>
      <c r="H20" s="43"/>
      <c r="I20" s="43"/>
      <c r="J20" s="43"/>
      <c r="K20" s="43"/>
      <c r="L20" s="43"/>
      <c r="M20" s="43"/>
      <c r="N20" s="43"/>
      <c r="O20" s="43"/>
      <c r="P20" s="43"/>
      <c r="Q20" s="43"/>
      <c r="R20" s="43"/>
      <c r="S20" s="43"/>
      <c r="T20" s="43"/>
      <c r="U20" s="43"/>
      <c r="V20" s="43"/>
      <c r="W20" s="43"/>
      <c r="X20" s="43"/>
      <c r="Y20" s="43"/>
    </row>
    <row r="21">
      <c r="A21" s="138"/>
      <c r="B21" s="49"/>
      <c r="C21" s="153" t="s">
        <v>197</v>
      </c>
      <c r="D21" s="154">
        <f>D20+D8</f>
        <v>34.67507926</v>
      </c>
      <c r="E21" s="155" t="s">
        <v>187</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198</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199</v>
      </c>
      <c r="C24" s="159"/>
      <c r="D24" s="160">
        <f>max('Revenues 2022'!E2:E7,'Revenues 2022'!F10:F15)</f>
        <v>9080863</v>
      </c>
      <c r="E24" s="161" t="s">
        <v>200</v>
      </c>
      <c r="F24" s="43"/>
      <c r="G24" s="43"/>
      <c r="H24" s="43"/>
      <c r="I24" s="43"/>
      <c r="J24" s="43"/>
      <c r="K24" s="43"/>
      <c r="L24" s="43"/>
      <c r="M24" s="43"/>
      <c r="N24" s="43"/>
      <c r="O24" s="43"/>
      <c r="P24" s="43"/>
      <c r="Q24" s="43"/>
      <c r="R24" s="43"/>
      <c r="S24" s="43"/>
      <c r="T24" s="43"/>
      <c r="U24" s="43"/>
      <c r="V24" s="43"/>
      <c r="W24" s="43"/>
      <c r="X24" s="43"/>
      <c r="Y24" s="43"/>
    </row>
    <row r="25">
      <c r="A25" s="138"/>
      <c r="B25" s="49"/>
      <c r="C25" s="144" t="s">
        <v>201</v>
      </c>
      <c r="D25" s="145">
        <f>'Revenues 2022'!F44</f>
        <v>9602712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198</v>
      </c>
      <c r="D26" s="162">
        <f>D24/D25</f>
        <v>0.9456560813</v>
      </c>
      <c r="E26" s="149" t="s">
        <v>202</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203</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204</v>
      </c>
      <c r="C29" s="144" t="s">
        <v>205</v>
      </c>
      <c r="D29" s="75">
        <f>SUM('Expenses 2022'!C7:C9)</f>
        <v>2622031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206</v>
      </c>
      <c r="D30" s="75">
        <f>SUM('Expenses 2022'!C10:C12)</f>
        <v>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207</v>
      </c>
      <c r="D31" s="75">
        <f>sum(D29:D30)</f>
        <v>2622031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182</v>
      </c>
      <c r="D32" s="75">
        <f>'Expenses 2022'!C40</f>
        <v>4728703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208</v>
      </c>
      <c r="D33" s="162">
        <f>D31/D32</f>
        <v>0.5544926378</v>
      </c>
      <c r="E33" s="149" t="s">
        <v>209</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210</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211</v>
      </c>
      <c r="C36" s="144" t="s">
        <v>212</v>
      </c>
      <c r="D36" s="75">
        <f>SUM('Expenses 2022'!C10:C11)</f>
        <v>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205</v>
      </c>
      <c r="D37" s="75">
        <f>SUM('Expenses 2022'!C7:C9)</f>
        <v>2622031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210</v>
      </c>
      <c r="D38" s="162">
        <f>D36/D37</f>
        <v>0</v>
      </c>
      <c r="E38" s="149" t="s">
        <v>213</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214</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215</v>
      </c>
      <c r="C41" s="147" t="s">
        <v>216</v>
      </c>
      <c r="D41" s="75">
        <f>'Expenses 2022'!D40</f>
        <v>2412905</v>
      </c>
      <c r="E41" s="164">
        <f t="shared" ref="E41:E44" si="1">D41/$D$44</f>
        <v>0.5102678261</v>
      </c>
      <c r="F41" s="43"/>
      <c r="G41" s="43"/>
      <c r="H41" s="43"/>
      <c r="I41" s="43"/>
      <c r="J41" s="43"/>
      <c r="K41" s="43"/>
      <c r="L41" s="43"/>
      <c r="M41" s="43"/>
      <c r="N41" s="43"/>
      <c r="O41" s="43"/>
      <c r="P41" s="43"/>
      <c r="Q41" s="43"/>
      <c r="R41" s="43"/>
      <c r="S41" s="43"/>
      <c r="T41" s="43"/>
      <c r="U41" s="43"/>
      <c r="V41" s="43"/>
      <c r="W41" s="43"/>
      <c r="X41" s="43"/>
      <c r="Y41" s="43"/>
    </row>
    <row r="42">
      <c r="A42" s="138"/>
      <c r="B42" s="49"/>
      <c r="C42" s="147" t="s">
        <v>217</v>
      </c>
      <c r="D42" s="145">
        <f>'Expenses 2022'!E40</f>
        <v>2125345</v>
      </c>
      <c r="E42" s="164">
        <f t="shared" si="1"/>
        <v>0.4494562251</v>
      </c>
      <c r="F42" s="43"/>
      <c r="G42" s="43"/>
      <c r="H42" s="43"/>
      <c r="I42" s="43"/>
      <c r="J42" s="43"/>
      <c r="K42" s="43"/>
      <c r="L42" s="43"/>
      <c r="M42" s="43"/>
      <c r="N42" s="43"/>
      <c r="O42" s="43"/>
      <c r="P42" s="43"/>
      <c r="Q42" s="43"/>
      <c r="R42" s="43"/>
      <c r="S42" s="43"/>
      <c r="T42" s="43"/>
      <c r="U42" s="43"/>
      <c r="V42" s="43"/>
      <c r="W42" s="43"/>
      <c r="X42" s="43"/>
      <c r="Y42" s="43"/>
    </row>
    <row r="43">
      <c r="A43" s="138"/>
      <c r="B43" s="49"/>
      <c r="C43" s="147" t="s">
        <v>218</v>
      </c>
      <c r="D43" s="145">
        <f>'Expenses 2022'!F40</f>
        <v>190453</v>
      </c>
      <c r="E43" s="164">
        <f t="shared" si="1"/>
        <v>0.04027594882</v>
      </c>
      <c r="F43" s="43"/>
      <c r="G43" s="43"/>
      <c r="H43" s="43"/>
      <c r="I43" s="43"/>
      <c r="J43" s="43"/>
      <c r="K43" s="43"/>
      <c r="L43" s="43"/>
      <c r="M43" s="43"/>
      <c r="N43" s="43"/>
      <c r="O43" s="43"/>
      <c r="P43" s="43"/>
      <c r="Q43" s="43"/>
      <c r="R43" s="43"/>
      <c r="S43" s="43"/>
      <c r="T43" s="43"/>
      <c r="U43" s="43"/>
      <c r="V43" s="43"/>
      <c r="W43" s="43"/>
      <c r="X43" s="43"/>
      <c r="Y43" s="43"/>
    </row>
    <row r="44">
      <c r="A44" s="138"/>
      <c r="B44" s="49"/>
      <c r="C44" s="144" t="s">
        <v>182</v>
      </c>
      <c r="D44" s="145">
        <f>sum(D41:D43)</f>
        <v>4728703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219</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220</v>
      </c>
      <c r="C47" s="144" t="s">
        <v>221</v>
      </c>
      <c r="D47" s="145">
        <f>'Revenues 2022'!F9</f>
        <v>9080863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222</v>
      </c>
      <c r="D48" s="145">
        <f>'Expenses 2022'!F40</f>
        <v>190453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223</v>
      </c>
      <c r="D49" s="165">
        <f>if(D48=0, "$0",D47/D48)</f>
        <v>47.68033583</v>
      </c>
      <c r="E49" s="149" t="s">
        <v>224</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225</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226</v>
      </c>
      <c r="C52" s="144" t="s">
        <v>227</v>
      </c>
      <c r="D52" s="145">
        <f>sum('Balance Sheet 2022'!E2:E10)</f>
        <v>8845235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228</v>
      </c>
      <c r="D53" s="145">
        <f>sum('Balance Sheet 2022'!E19:E22)</f>
        <v>434602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229</v>
      </c>
      <c r="D54" s="167">
        <f>D52/D53</f>
        <v>20.35249493</v>
      </c>
      <c r="E54" s="149" t="s">
        <v>230</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231</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232</v>
      </c>
      <c r="C57" s="144" t="s">
        <v>233</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234</v>
      </c>
      <c r="D58" s="145">
        <f>'Balance Sheet 2022'!E18</f>
        <v>16140232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235</v>
      </c>
      <c r="D59" s="168">
        <f>D57/D58</f>
        <v>0</v>
      </c>
      <c r="E59" s="149" t="s">
        <v>236</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GRANTMAKERS IN HEALTH</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2652532.0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2652532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502914.0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502914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370143.0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77150.0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238</v>
      </c>
      <c r="D40" s="74"/>
      <c r="E40" s="48">
        <v>16500.0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93650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3619239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GRANTMAKERS IN HEALTH</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778250</v>
      </c>
      <c r="D7" s="99">
        <v>319846.0</v>
      </c>
      <c r="E7" s="99">
        <v>414548.0</v>
      </c>
      <c r="F7" s="99">
        <v>43856.0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1417173</v>
      </c>
      <c r="D9" s="99">
        <v>582431.0</v>
      </c>
      <c r="E9" s="99">
        <v>754880.0</v>
      </c>
      <c r="F9" s="99">
        <v>79862.0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205179</v>
      </c>
      <c r="D10" s="99">
        <v>84641.0</v>
      </c>
      <c r="E10" s="99">
        <v>108953.0</v>
      </c>
      <c r="F10" s="99">
        <v>11585.0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159587</v>
      </c>
      <c r="D11" s="99">
        <v>65833.0</v>
      </c>
      <c r="E11" s="99">
        <v>84743.0</v>
      </c>
      <c r="F11" s="99">
        <v>9011.0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158703</v>
      </c>
      <c r="D12" s="99">
        <v>65469.0</v>
      </c>
      <c r="E12" s="99">
        <v>84273.0</v>
      </c>
      <c r="F12" s="99">
        <v>8961.0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334638</v>
      </c>
      <c r="D14" s="99">
        <v>213123.0</v>
      </c>
      <c r="E14" s="99">
        <v>96770.0</v>
      </c>
      <c r="F14" s="99">
        <v>24745.0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5301</v>
      </c>
      <c r="D15" s="99">
        <v>0.0</v>
      </c>
      <c r="E15" s="99">
        <v>5301.0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130645</v>
      </c>
      <c r="D16" s="99">
        <v>0.0</v>
      </c>
      <c r="E16" s="99">
        <v>130645.0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25906</v>
      </c>
      <c r="D21" s="99">
        <v>13716.0</v>
      </c>
      <c r="E21" s="99">
        <v>11018.0</v>
      </c>
      <c r="F21" s="99">
        <v>1172.0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101179</v>
      </c>
      <c r="D22" s="99">
        <v>61471.0</v>
      </c>
      <c r="E22" s="99">
        <v>39708.0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31396</v>
      </c>
      <c r="D26" s="99">
        <v>12938.0</v>
      </c>
      <c r="E26" s="99">
        <v>16684.0</v>
      </c>
      <c r="F26" s="99">
        <v>1774.0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907769</v>
      </c>
      <c r="D28" s="99">
        <v>882831.0</v>
      </c>
      <c r="E28" s="99">
        <v>22541.0</v>
      </c>
      <c r="F28" s="99">
        <v>2397.0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384028</v>
      </c>
      <c r="D31" s="99">
        <v>40403.0</v>
      </c>
      <c r="E31" s="99">
        <v>343625.0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96313</v>
      </c>
      <c r="D34" s="99">
        <v>25497.0</v>
      </c>
      <c r="E34" s="99">
        <v>68688.0</v>
      </c>
      <c r="F34" s="99">
        <v>2128.0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2666</v>
      </c>
      <c r="D35" s="99">
        <v>0.0</v>
      </c>
      <c r="E35" s="99">
        <v>2666.0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3">
        <f t="shared" ref="C40:F40" si="2">sum(C3:C39)</f>
        <v>4738733</v>
      </c>
      <c r="D40" s="103">
        <f t="shared" si="2"/>
        <v>2368199</v>
      </c>
      <c r="E40" s="103">
        <f t="shared" si="2"/>
        <v>2185043</v>
      </c>
      <c r="F40" s="103">
        <f t="shared" si="2"/>
        <v>185491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GRANTMAKERS IN HEALTH</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139</v>
      </c>
      <c r="B2" s="45">
        <v>1.0</v>
      </c>
      <c r="C2" s="46" t="s">
        <v>140</v>
      </c>
      <c r="D2" s="110"/>
      <c r="E2" s="111">
        <v>6639430.0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0"/>
      <c r="E4" s="111">
        <v>855192.0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0"/>
      <c r="E10" s="111">
        <v>101317.0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1">
        <v>287857.0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1">
        <v>107414.0</v>
      </c>
      <c r="E12" s="108">
        <f>D11-D12</f>
        <v>180443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2"/>
      <c r="E13" s="111">
        <v>5417018.0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2"/>
      <c r="E14" s="111">
        <v>2255062.0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3"/>
      <c r="E18" s="114">
        <f>sum(E2:E17)</f>
        <v>15448462</v>
      </c>
      <c r="F18" s="43"/>
      <c r="G18" s="43"/>
      <c r="H18" s="43"/>
      <c r="I18" s="43"/>
      <c r="J18" s="43"/>
      <c r="K18" s="43"/>
      <c r="L18" s="43"/>
      <c r="M18" s="43"/>
      <c r="N18" s="43"/>
      <c r="O18" s="43"/>
      <c r="P18" s="43"/>
      <c r="Q18" s="43"/>
      <c r="R18" s="43"/>
      <c r="S18" s="43"/>
      <c r="T18" s="43"/>
      <c r="U18" s="43"/>
      <c r="V18" s="43"/>
      <c r="W18" s="43"/>
      <c r="X18" s="43"/>
      <c r="Y18" s="43"/>
      <c r="Z18" s="43"/>
    </row>
    <row r="19">
      <c r="A19" s="44" t="s">
        <v>159</v>
      </c>
      <c r="B19" s="115">
        <v>17.0</v>
      </c>
      <c r="C19" s="116" t="s">
        <v>160</v>
      </c>
      <c r="D19" s="117"/>
      <c r="E19" s="111">
        <v>387307.0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161</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162</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163</v>
      </c>
      <c r="D22" s="117"/>
      <c r="E22" s="111">
        <v>65000.0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164</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165</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166</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167</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168</v>
      </c>
      <c r="D27" s="117"/>
      <c r="E27" s="118">
        <v>2543899.0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169</v>
      </c>
      <c r="D28" s="125"/>
      <c r="E28" s="126">
        <f>sum(E19:E27)</f>
        <v>2996206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7"/>
      <c r="C29" s="128" t="s">
        <v>171</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172</v>
      </c>
      <c r="D30" s="117"/>
      <c r="E30" s="111">
        <v>1.0241859E7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173</v>
      </c>
      <c r="D31" s="117"/>
      <c r="E31" s="111">
        <v>2210397.0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174</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175</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176</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177</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178</v>
      </c>
      <c r="D36" s="131"/>
      <c r="E36" s="126">
        <f>sum(E30:E35)</f>
        <v>12452256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179</v>
      </c>
      <c r="D37" s="135"/>
      <c r="E37" s="136">
        <f>E36+E28</f>
        <v>15448462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