
<file path=[Content_Types].xml><?xml version="1.0" encoding="utf-8"?>
<Types xmlns="http://schemas.openxmlformats.org/package/2006/content-types">
  <Default ContentType="image/jpeg" Extension="jpg"/>
  <Default ContentType="application/xml" Extension="xml"/>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<sst xmlns="http://schemas.openxmlformats.org/spreadsheetml/2006/main" count="867" uniqueCount="252">
  <si>
    <t>CONSORTIUM OF FLORIDA EDUCATION FOUNDATIONS</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</si>
  <si>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</si>
  <si>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</si>
  <si>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</si>
  <si>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</si>
  <si>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</si>
  <si>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</si>
  <si>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</si>
  <si>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</si>
  <si>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</si>
  <si>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</si>
  <si>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</si>
  <si>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</si>
  <si>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</si>
  <si>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</si>
  <si>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</si>
  <si>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</si>
  <si>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</si>
  <si>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</si>
  <si>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</si>
  <si>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</si>
  <si>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</si>
  <si>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</si>
  <si>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</si>
  <si>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</si>
  <si>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</si>
  <si>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</si>
  <si>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</si>
  <si>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</si>
  <si>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</si>
  <si>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</si>
  <si>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</si>
  <si>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</si>
  <si>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</si>
  <si>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</si>
  <si>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</si>
  <si>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</si>
  <si>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</si>
  <si>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</si>
  <si>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</si>
  <si>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</si>
  <si>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</si>
  <si>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</si>
  <si>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</si>
  <si>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</si>
  <si>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</si>
  <si>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</si>
  <si>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</si>
  <si>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</si>
  <si>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</si>
  <si>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</si>
  <si>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</si>
  <si>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</si>
  <si>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</si>
  <si>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</si>
  <si>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</si>
  <si>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</si>
  <si>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</si>
  <si>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</si>
  <si>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</si>
  <si>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</si>
  <si>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</si>
  <si>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</si>
  <si>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</si>
  <si>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</si>
  <si>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</si>
  <si>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</si>
  <si>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</si>
  <si>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</si>
  <si>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</si>
  <si>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</si>
  <si>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</si>
  <si>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</si>
  <si>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</si>
  <si>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</si>
  <si>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</si>
  <si>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</si>
  <si>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</si>
  <si>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</si>
  <si>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</si>
  <si>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</si>
  <si>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</si>
  <si>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</si>
  <si>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</si>
  <si>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</si>
  <si>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</si>
  <si>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</si>
  <si>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</si>
  <si>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</si>
  <si>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</si>
  <si>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</si>
  <si>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</si>
  <si>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</si>
  <si>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</si>
  <si>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</si>
  <si>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</si>
  <si>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</si>
  <si>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</si>
  <si>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</si>
  <si>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</si>
  <si>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</si>
  <si>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</si>
  <si>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</si>
  <si>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</si>
  <si>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</si>
  <si>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</si>
  <si>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</si>
  <si>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</si>
  <si>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</si>
  <si>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</si>
  <si>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</si>
  <si>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</si>
  <si>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</si>
  <si>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</si>
  <si>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</si>
  <si>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</si>
  <si>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</si>
  <si>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</si>
  <si>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</si>
  <si>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</si>
  <si>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</si>
  <si>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</si>
  <si>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</si>
  <si>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</si>
  <si>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</si>
  <si>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</si>
  <si>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</si>
  <si>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</si>
  <si>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</si>
  <si>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</si>
  <si>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</si>
  <si>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</si>
  <si>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</si>
  <si>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PROFESSIONAL DEVELOPEMENT</t>
  </si>
  <si>
    <t xml:space="preserve">REPAIRS AND MAINTENANCE </t>
  </si>
  <si>
    <t xml:space="preserve">AWARDS </t>
  </si>
  <si>
    <t xml:space="preserve">All other expenses </t>
  </si>
  <si>
    <t>Total functional expenses</t>
  </si>
  <si>
    <t>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</si>
  <si>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</si>
  <si>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</si>
  <si>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</si>
  <si>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</si>
  <si>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</si>
  <si>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</si>
  <si>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</si>
  <si>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</si>
  <si>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</si>
  <si>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</si>
  <si>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</si>
  <si>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</si>
  <si>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</si>
  <si>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</si>
  <si>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</si>
  <si>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</si>
  <si>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</si>
  <si>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</si>
  <si>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</si>
  <si>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</si>
  <si>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</si>
  <si>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</si>
  <si>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</si>
  <si>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</si>
  <si>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</si>
  <si>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</si>
  <si>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</si>
  <si>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</si>
  <si>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</si>
  <si>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</si>
  <si>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</si>
  <si>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</si>
  <si>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</si>
  <si>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</si>
  <si>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</si>
  <si>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</si>
  <si>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</si>
  <si>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</si>
  <si>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</si>
  <si>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</si>
  <si>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</si>
  <si>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</si>
  <si>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</si>
  <si>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</si>
  <si>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</si>
  <si>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</si>
  <si>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</si>
  <si>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</si>
  <si>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</si>
  <si>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</si>
  <si>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</si>
  <si>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</si>
  <si>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</si>
  <si>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</si>
  <si>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</si>
  <si>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</si>
  <si>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</si>
  <si>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</si>
  <si>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</si>
  <si>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</si>
  <si>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</si>
  <si>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</si>
  <si>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</si>
  <si>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</si>
  <si>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</si>
  <si>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</si>
  <si>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</si>
  <si>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</si>
  <si>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</si>
  <si>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</si>
  <si>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</si>
  <si>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</si>
  <si>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</si>
  <si>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</si>
  <si>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</si>
  <si>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</si>
  <si>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</si>
  <si>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</si>
  <si>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</si>
  <si>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</si>
  <si>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</si>
  <si>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</si>
  <si>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</si>
  <si>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</si>
  <si>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</si>
  <si>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</si>
  <si>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</si>
  <si>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</si>
  <si>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</si>
  <si>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</si>
  <si>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</si>
  <si>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</si>
  <si>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</si>
  <si>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</si>
  <si>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</si>
  <si>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</si>
  <si>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</si>
  <si>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</si>
  <si>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CONFERENCE REGISTRATION</t>
  </si>
  <si>
    <t>MEMBER SERVICES</t>
  </si>
  <si>
    <r>
      <rPr>
        <rFont val="Roboto"/>
        <color rgb="FF000000"/>
        <sz val="10.0"/>
      </rPr>
      <t xml:space="preserve">Gross amount from sales of </t>
    </r>
    <r>
      <rPr>
        <rFont val="Roboto"/>
        <color rgb="FF000000"/>
        <sz val="10.0"/>
      </rPr>
      <t>assets other than inventory</t>
    </r>
  </si>
  <si>
    <t>AWARDS</t>
  </si>
  <si>
    <r>
      <rPr>
        <rFont val="Roboto"/>
        <b/>
        <color rgb="FF000000"/>
        <sz val="10.0"/>
      </rPr>
      <t xml:space="preserve">Program Expenses </t>
    </r>
    <r>
      <rPr>
        <rFont val="Roboto"/>
        <b/>
        <i/>
        <color rgb="FF000000"/>
        <sz val="10.0"/>
      </rPr>
      <t xml:space="preserve">(Program Efficiency Ratio) </t>
    </r>
  </si>
  <si>
    <t>CONFERENCE REGISTRATIONS</t>
  </si>
  <si>
    <r>
      <rPr>
        <rFont val="Roboto"/>
        <color rgb="FF000000"/>
        <sz val="10.0"/>
      </rPr>
      <t xml:space="preserve">Gross amount from sales of </t>
    </r>
    <r>
      <rPr>
        <rFont val="Roboto"/>
        <color rgb="FF000000"/>
        <sz val="10.0"/>
      </rPr>
      <t>assets other than inventory</t>
    </r>
  </si>
  <si>
    <t>PROFESSIONAL DEVELOPMENT</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</si>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</sst>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CONSORTIUM OF FLORIDA EDUCATION FOUNDATIONS</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180</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181</v>
      </c>
      <c r="C3" s="145" t="s">
        <v>182</v>
      </c>
      <c r="D3" s="146">
        <f>'Expenses 2022'!C40</f>
        <v>9027658</v>
      </c>
      <c r="E3" s="147"/>
      <c r="F3" s="43"/>
      <c r="G3" s="43"/>
      <c r="H3" s="43"/>
      <c r="I3" s="43"/>
      <c r="J3" s="43"/>
      <c r="K3" s="43"/>
      <c r="L3" s="43"/>
      <c r="M3" s="43"/>
      <c r="N3" s="43"/>
      <c r="O3" s="43"/>
      <c r="P3" s="43"/>
      <c r="Q3" s="43"/>
      <c r="R3" s="43"/>
      <c r="S3" s="43"/>
      <c r="T3" s="43"/>
      <c r="U3" s="43"/>
      <c r="V3" s="43"/>
      <c r="W3" s="43"/>
      <c r="X3" s="43"/>
      <c r="Y3" s="43"/>
    </row>
    <row r="4">
      <c r="A4" s="139"/>
      <c r="B4" s="49"/>
      <c r="C4" s="145" t="s">
        <v>183</v>
      </c>
      <c r="D4" s="146">
        <f>'Expenses 2022'!C31</f>
        <v>5223</v>
      </c>
      <c r="E4" s="147"/>
      <c r="F4" s="43"/>
      <c r="G4" s="43"/>
      <c r="H4" s="43"/>
      <c r="I4" s="43"/>
      <c r="J4" s="43"/>
      <c r="K4" s="43"/>
      <c r="L4" s="43"/>
      <c r="M4" s="43"/>
      <c r="N4" s="43"/>
      <c r="O4" s="43"/>
      <c r="P4" s="43"/>
      <c r="Q4" s="43"/>
      <c r="R4" s="43"/>
      <c r="S4" s="43"/>
      <c r="T4" s="43"/>
      <c r="U4" s="43"/>
      <c r="V4" s="43"/>
      <c r="W4" s="43"/>
      <c r="X4" s="43"/>
      <c r="Y4" s="43"/>
    </row>
    <row r="5">
      <c r="A5" s="139"/>
      <c r="B5" s="49"/>
      <c r="C5" s="145" t="s">
        <v>184</v>
      </c>
      <c r="D5" s="146">
        <f>D3-D4</f>
        <v>9022435</v>
      </c>
      <c r="E5" s="147"/>
      <c r="F5" s="43"/>
      <c r="G5" s="43"/>
      <c r="H5" s="43"/>
      <c r="I5" s="43"/>
      <c r="J5" s="43"/>
      <c r="K5" s="43"/>
      <c r="L5" s="43"/>
      <c r="M5" s="43"/>
      <c r="N5" s="43"/>
      <c r="O5" s="43"/>
      <c r="P5" s="43"/>
      <c r="Q5" s="43"/>
      <c r="R5" s="43"/>
      <c r="S5" s="43"/>
      <c r="T5" s="43"/>
      <c r="U5" s="43"/>
      <c r="V5" s="43"/>
      <c r="W5" s="43"/>
      <c r="X5" s="43"/>
      <c r="Y5" s="43"/>
    </row>
    <row r="6">
      <c r="A6" s="139"/>
      <c r="B6" s="49"/>
      <c r="C6" s="145" t="s">
        <v>185</v>
      </c>
      <c r="D6" s="146">
        <f>D5/12</f>
        <v>751869.5833</v>
      </c>
      <c r="E6" s="147"/>
      <c r="F6" s="43"/>
      <c r="G6" s="43"/>
      <c r="H6" s="43"/>
      <c r="I6" s="43"/>
      <c r="J6" s="43"/>
      <c r="K6" s="43"/>
      <c r="L6" s="43"/>
      <c r="M6" s="43"/>
      <c r="N6" s="43"/>
      <c r="O6" s="43"/>
      <c r="P6" s="43"/>
      <c r="Q6" s="43"/>
      <c r="R6" s="43"/>
      <c r="S6" s="43"/>
      <c r="T6" s="43"/>
      <c r="U6" s="43"/>
      <c r="V6" s="43"/>
      <c r="W6" s="43"/>
      <c r="X6" s="43"/>
      <c r="Y6" s="43"/>
    </row>
    <row r="7">
      <c r="A7" s="139"/>
      <c r="B7" s="49"/>
      <c r="C7" s="145" t="s">
        <v>186</v>
      </c>
      <c r="D7" s="75">
        <f>'Balance Sheet 2022'!E2+'Balance Sheet 2022'!E3</f>
        <v>747289</v>
      </c>
      <c r="E7" s="147"/>
      <c r="F7" s="43"/>
      <c r="G7" s="43"/>
      <c r="H7" s="43"/>
      <c r="I7" s="43"/>
      <c r="J7" s="43"/>
      <c r="K7" s="43"/>
      <c r="L7" s="43"/>
      <c r="M7" s="43"/>
      <c r="N7" s="43"/>
      <c r="O7" s="43"/>
      <c r="P7" s="43"/>
      <c r="Q7" s="43"/>
      <c r="R7" s="43"/>
      <c r="S7" s="43"/>
      <c r="T7" s="43"/>
      <c r="U7" s="43"/>
      <c r="V7" s="43"/>
      <c r="W7" s="43"/>
      <c r="X7" s="43"/>
      <c r="Y7" s="43"/>
    </row>
    <row r="8">
      <c r="A8" s="139"/>
      <c r="B8" s="49"/>
      <c r="C8" s="148" t="s">
        <v>180</v>
      </c>
      <c r="D8" s="149">
        <f>D7/D6</f>
        <v>0.9939077422</v>
      </c>
      <c r="E8" s="150" t="s">
        <v>187</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188</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189</v>
      </c>
      <c r="C11" s="145" t="s">
        <v>190</v>
      </c>
      <c r="D11" s="75">
        <f>'Balance Sheet 2022'!E30</f>
        <v>655170</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191</v>
      </c>
      <c r="D12" s="75">
        <f>'Expenses 2022'!C40</f>
        <v>9027658</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192</v>
      </c>
      <c r="D13" s="146">
        <f>D12/12</f>
        <v>752304.8333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188</v>
      </c>
      <c r="D14" s="149">
        <f>D11/D13</f>
        <v>0.8708836777</v>
      </c>
      <c r="E14" s="150" t="s">
        <v>187</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193</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194</v>
      </c>
      <c r="C17" s="145" t="s">
        <v>195</v>
      </c>
      <c r="D17" s="75">
        <f>sum('Balance Sheet 2022'!E13:E15)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191</v>
      </c>
      <c r="D18" s="75">
        <f>'Expenses 2022'!C40</f>
        <v>9027658</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192</v>
      </c>
      <c r="D19" s="146">
        <f>D18/12</f>
        <v>752304.8333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196</v>
      </c>
      <c r="D20" s="149">
        <f>D17/D19</f>
        <v>0</v>
      </c>
      <c r="E20" s="150" t="s">
        <v>187</v>
      </c>
      <c r="F20" s="43"/>
      <c r="G20" s="43"/>
      <c r="H20" s="43"/>
      <c r="I20" s="43"/>
      <c r="J20" s="43"/>
      <c r="K20" s="43"/>
      <c r="L20" s="43"/>
      <c r="M20" s="43"/>
      <c r="N20" s="43"/>
      <c r="O20" s="43"/>
      <c r="P20" s="43"/>
      <c r="Q20" s="43"/>
      <c r="R20" s="43"/>
      <c r="S20" s="43"/>
      <c r="T20" s="43"/>
      <c r="U20" s="43"/>
      <c r="V20" s="43"/>
      <c r="W20" s="43"/>
      <c r="X20" s="43"/>
      <c r="Y20" s="43"/>
    </row>
    <row r="21">
      <c r="A21" s="139"/>
      <c r="B21" s="49"/>
      <c r="C21" s="154" t="s">
        <v>197</v>
      </c>
      <c r="D21" s="155">
        <f>D20+D8</f>
        <v>0.9939077422</v>
      </c>
      <c r="E21" s="156" t="s">
        <v>187</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198</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199</v>
      </c>
      <c r="C24" s="160"/>
      <c r="D24" s="161">
        <f>max('Revenues 2022'!E2:E7,'Revenues 2023'!F10:F15)</f>
        <v>7059753</v>
      </c>
      <c r="E24" s="162" t="s">
        <v>200</v>
      </c>
      <c r="F24" s="43"/>
      <c r="G24" s="43"/>
      <c r="H24" s="43"/>
      <c r="I24" s="43"/>
      <c r="J24" s="43"/>
      <c r="K24" s="43"/>
      <c r="L24" s="43"/>
      <c r="M24" s="43"/>
      <c r="N24" s="43"/>
      <c r="O24" s="43"/>
      <c r="P24" s="43"/>
      <c r="Q24" s="43"/>
      <c r="R24" s="43"/>
      <c r="S24" s="43"/>
      <c r="T24" s="43"/>
      <c r="U24" s="43"/>
      <c r="V24" s="43"/>
      <c r="W24" s="43"/>
      <c r="X24" s="43"/>
      <c r="Y24" s="43"/>
    </row>
    <row r="25">
      <c r="A25" s="139"/>
      <c r="B25" s="49"/>
      <c r="C25" s="145" t="s">
        <v>201</v>
      </c>
      <c r="D25" s="146">
        <f>'Revenues 2022'!F44</f>
        <v>9067149</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198</v>
      </c>
      <c r="D26" s="163">
        <f>D24/D25</f>
        <v>0.7786078072</v>
      </c>
      <c r="E26" s="150" t="s">
        <v>202</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203</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204</v>
      </c>
      <c r="C29" s="145" t="s">
        <v>205</v>
      </c>
      <c r="D29" s="75">
        <f>SUM('Expenses 2022'!C7:C9)</f>
        <v>376243</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206</v>
      </c>
      <c r="D30" s="75">
        <f>SUM('Expenses 2022'!C10:C12)</f>
        <v>66292</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207</v>
      </c>
      <c r="D31" s="75">
        <f>sum(D29:D30)</f>
        <v>442535</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182</v>
      </c>
      <c r="D32" s="75">
        <f>'Expenses 2022'!C40</f>
        <v>9027658</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208</v>
      </c>
      <c r="D33" s="163">
        <f>D31/D32</f>
        <v>0.04901991192</v>
      </c>
      <c r="E33" s="150" t="s">
        <v>209</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210</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211</v>
      </c>
      <c r="C36" s="145" t="s">
        <v>212</v>
      </c>
      <c r="D36" s="75">
        <f>SUM('Expenses 2022'!C10:C11)</f>
        <v>40408</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205</v>
      </c>
      <c r="D37" s="75">
        <f>SUM('Expenses 2022'!C7:C9)</f>
        <v>376243</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210</v>
      </c>
      <c r="D38" s="163">
        <f>D36/D37</f>
        <v>0.1073986759</v>
      </c>
      <c r="E38" s="150" t="s">
        <v>213</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214</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215</v>
      </c>
      <c r="C41" s="148" t="s">
        <v>241</v>
      </c>
      <c r="D41" s="75">
        <f>'Expenses 2022'!D40</f>
        <v>8805279</v>
      </c>
      <c r="E41" s="165">
        <f t="shared" ref="E41:E44" si="1">D41/$D$44</f>
        <v>0.9753669224</v>
      </c>
      <c r="F41" s="43"/>
      <c r="G41" s="43"/>
      <c r="H41" s="43"/>
      <c r="I41" s="43"/>
      <c r="J41" s="43"/>
      <c r="K41" s="43"/>
      <c r="L41" s="43"/>
      <c r="M41" s="43"/>
      <c r="N41" s="43"/>
      <c r="O41" s="43"/>
      <c r="P41" s="43"/>
      <c r="Q41" s="43"/>
      <c r="R41" s="43"/>
      <c r="S41" s="43"/>
      <c r="T41" s="43"/>
      <c r="U41" s="43"/>
      <c r="V41" s="43"/>
      <c r="W41" s="43"/>
      <c r="X41" s="43"/>
      <c r="Y41" s="43"/>
    </row>
    <row r="42">
      <c r="A42" s="139"/>
      <c r="B42" s="49"/>
      <c r="C42" s="148" t="s">
        <v>217</v>
      </c>
      <c r="D42" s="146">
        <f>'Expenses 2022'!E40</f>
        <v>133951</v>
      </c>
      <c r="E42" s="165">
        <f t="shared" si="1"/>
        <v>0.01483784609</v>
      </c>
      <c r="F42" s="43"/>
      <c r="G42" s="43"/>
      <c r="H42" s="43"/>
      <c r="I42" s="43"/>
      <c r="J42" s="43"/>
      <c r="K42" s="43"/>
      <c r="L42" s="43"/>
      <c r="M42" s="43"/>
      <c r="N42" s="43"/>
      <c r="O42" s="43"/>
      <c r="P42" s="43"/>
      <c r="Q42" s="43"/>
      <c r="R42" s="43"/>
      <c r="S42" s="43"/>
      <c r="T42" s="43"/>
      <c r="U42" s="43"/>
      <c r="V42" s="43"/>
      <c r="W42" s="43"/>
      <c r="X42" s="43"/>
      <c r="Y42" s="43"/>
    </row>
    <row r="43">
      <c r="A43" s="139"/>
      <c r="B43" s="49"/>
      <c r="C43" s="148" t="s">
        <v>218</v>
      </c>
      <c r="D43" s="146">
        <f>'Expenses 2022'!F40</f>
        <v>88428</v>
      </c>
      <c r="E43" s="165">
        <f t="shared" si="1"/>
        <v>0.009795231499</v>
      </c>
      <c r="F43" s="43"/>
      <c r="G43" s="43"/>
      <c r="H43" s="43"/>
      <c r="I43" s="43"/>
      <c r="J43" s="43"/>
      <c r="K43" s="43"/>
      <c r="L43" s="43"/>
      <c r="M43" s="43"/>
      <c r="N43" s="43"/>
      <c r="O43" s="43"/>
      <c r="P43" s="43"/>
      <c r="Q43" s="43"/>
      <c r="R43" s="43"/>
      <c r="S43" s="43"/>
      <c r="T43" s="43"/>
      <c r="U43" s="43"/>
      <c r="V43" s="43"/>
      <c r="W43" s="43"/>
      <c r="X43" s="43"/>
      <c r="Y43" s="43"/>
    </row>
    <row r="44">
      <c r="A44" s="139"/>
      <c r="B44" s="49"/>
      <c r="C44" s="145" t="s">
        <v>182</v>
      </c>
      <c r="D44" s="146">
        <f>sum(D41:D43)</f>
        <v>9027658</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219</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220</v>
      </c>
      <c r="C47" s="145" t="s">
        <v>221</v>
      </c>
      <c r="D47" s="146">
        <f>'Revenues 2022'!F9</f>
        <v>9048756</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222</v>
      </c>
      <c r="D48" s="146">
        <f>'Expenses 2022'!F40</f>
        <v>88428</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223</v>
      </c>
      <c r="D49" s="166">
        <f>D47/D48</f>
        <v>102.3290813</v>
      </c>
      <c r="E49" s="150" t="s">
        <v>224</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225</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226</v>
      </c>
      <c r="C52" s="145" t="s">
        <v>227</v>
      </c>
      <c r="D52" s="146">
        <f>sum('Balance Sheet 2022'!E2:E10)</f>
        <v>1433992</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228</v>
      </c>
      <c r="D53" s="146">
        <f>sum('Balance Sheet 2022'!E19:E22)</f>
        <v>798237</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229</v>
      </c>
      <c r="D54" s="168">
        <f>D52/D53</f>
        <v>1.796448924</v>
      </c>
      <c r="E54" s="150" t="s">
        <v>230</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231</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232</v>
      </c>
      <c r="C57" s="145" t="s">
        <v>233</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234</v>
      </c>
      <c r="D58" s="146">
        <f>'Balance Sheet 2022'!E18</f>
        <v>1453407</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235</v>
      </c>
      <c r="D59" s="169">
        <f>D57/D58</f>
        <v>0</v>
      </c>
      <c r="E59" s="150" t="s">
        <v>236</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CONSORTIUM OF FLORIDA EDUCATION FOUNDATIONS</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98400.0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2.1098697E7</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4416123.0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25613220</v>
      </c>
      <c r="G9" s="58"/>
      <c r="H9" s="58"/>
      <c r="I9" s="58"/>
      <c r="J9" s="58"/>
      <c r="K9" s="58"/>
      <c r="L9" s="58"/>
      <c r="M9" s="58"/>
      <c r="N9" s="58"/>
      <c r="O9" s="58"/>
      <c r="P9" s="58"/>
      <c r="Q9" s="58"/>
      <c r="R9" s="58"/>
      <c r="S9" s="58"/>
      <c r="T9" s="58"/>
      <c r="U9" s="58"/>
      <c r="V9" s="58"/>
      <c r="W9" s="58"/>
      <c r="X9" s="58"/>
      <c r="Y9" s="58"/>
      <c r="Z9" s="58"/>
    </row>
    <row r="10">
      <c r="A10" s="44" t="s">
        <v>62</v>
      </c>
      <c r="B10" s="59" t="s">
        <v>63</v>
      </c>
      <c r="C10" s="60" t="s">
        <v>242</v>
      </c>
      <c r="D10" s="15"/>
      <c r="E10" s="15"/>
      <c r="F10" s="48">
        <v>15537.0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15537</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15348.0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243</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25644105</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CONSORTIUM OF FLORIDA EDUCATION FOUNDATIONS</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9458352</v>
      </c>
      <c r="D3" s="99">
        <v>9458352.0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177131</v>
      </c>
      <c r="D7" s="99">
        <v>141705.0</v>
      </c>
      <c r="E7" s="99">
        <v>17713.0</v>
      </c>
      <c r="F7" s="99">
        <v>17713.0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108</v>
      </c>
      <c r="C9" s="98">
        <f t="shared" si="1"/>
        <v>324846</v>
      </c>
      <c r="D9" s="99">
        <v>259876.0</v>
      </c>
      <c r="E9" s="99">
        <v>32485.0</v>
      </c>
      <c r="F9" s="99">
        <v>32485.0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5108</v>
      </c>
      <c r="D10" s="99">
        <v>4084.0</v>
      </c>
      <c r="E10" s="99">
        <v>512.0</v>
      </c>
      <c r="F10" s="99">
        <v>512.0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54969</v>
      </c>
      <c r="D11" s="99">
        <v>43977.0</v>
      </c>
      <c r="E11" s="99">
        <v>5496.0</v>
      </c>
      <c r="F11" s="99">
        <v>5496.0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38444</v>
      </c>
      <c r="D12" s="99">
        <v>30756.0</v>
      </c>
      <c r="E12" s="99">
        <v>3844.0</v>
      </c>
      <c r="F12" s="99">
        <v>3844.0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3320</v>
      </c>
      <c r="D15" s="99">
        <v>0.0</v>
      </c>
      <c r="E15" s="99">
        <v>3320.0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33522</v>
      </c>
      <c r="D16" s="99">
        <v>0.0</v>
      </c>
      <c r="E16" s="99">
        <v>33522.0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76525</v>
      </c>
      <c r="D17" s="99">
        <v>0.0</v>
      </c>
      <c r="E17" s="99">
        <v>38262.0</v>
      </c>
      <c r="F17" s="99">
        <v>38263.0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14915379</v>
      </c>
      <c r="D20" s="99">
        <v>1.4865219E7</v>
      </c>
      <c r="E20" s="99">
        <v>49246.0</v>
      </c>
      <c r="F20" s="99">
        <v>914.0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6375</v>
      </c>
      <c r="D21" s="99">
        <v>5100.0</v>
      </c>
      <c r="E21" s="99">
        <v>0.0</v>
      </c>
      <c r="F21" s="99">
        <v>1275.0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29669</v>
      </c>
      <c r="D22" s="99">
        <v>23736.0</v>
      </c>
      <c r="E22" s="99">
        <v>3296.0</v>
      </c>
      <c r="F22" s="99">
        <v>2637.0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79595</v>
      </c>
      <c r="D23" s="99">
        <v>79595.0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13200</v>
      </c>
      <c r="D25" s="99">
        <v>10560.0</v>
      </c>
      <c r="E25" s="99">
        <v>1320.0</v>
      </c>
      <c r="F25" s="99">
        <v>1320.0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26392</v>
      </c>
      <c r="D26" s="99">
        <v>26392.0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76782</v>
      </c>
      <c r="D28" s="99">
        <v>76782.0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6533</v>
      </c>
      <c r="D31" s="99">
        <v>5880.0</v>
      </c>
      <c r="E31" s="99">
        <v>653.0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5348</v>
      </c>
      <c r="D32" s="99">
        <v>0.0</v>
      </c>
      <c r="E32" s="99">
        <v>5348.0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102" t="s">
        <v>244</v>
      </c>
      <c r="C34" s="98">
        <f t="shared" si="1"/>
        <v>48663</v>
      </c>
      <c r="D34" s="99">
        <v>46230.0</v>
      </c>
      <c r="E34" s="99">
        <v>2433.0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3" t="s">
        <v>135</v>
      </c>
      <c r="C35" s="98">
        <f t="shared" si="1"/>
        <v>6743</v>
      </c>
      <c r="D35" s="99">
        <v>6743.0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3" t="s">
        <v>134</v>
      </c>
      <c r="C36" s="98">
        <f t="shared" si="1"/>
        <v>3401</v>
      </c>
      <c r="D36" s="99">
        <v>2721.0</v>
      </c>
      <c r="E36" s="99">
        <v>340.0</v>
      </c>
      <c r="F36" s="99">
        <v>340.0</v>
      </c>
      <c r="G36" s="43"/>
      <c r="H36" s="43"/>
      <c r="I36" s="43"/>
      <c r="J36" s="43"/>
      <c r="K36" s="43"/>
      <c r="L36" s="43"/>
      <c r="M36" s="43"/>
      <c r="N36" s="43"/>
      <c r="O36" s="43"/>
      <c r="P36" s="43"/>
      <c r="Q36" s="43"/>
      <c r="R36" s="43"/>
      <c r="S36" s="43"/>
      <c r="T36" s="43"/>
      <c r="U36" s="43"/>
      <c r="V36" s="43"/>
      <c r="W36" s="43"/>
      <c r="X36" s="43"/>
      <c r="Y36" s="43"/>
      <c r="Z36" s="43"/>
    </row>
    <row r="37">
      <c r="A37" s="45" t="s">
        <v>52</v>
      </c>
      <c r="B37" s="103"/>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136</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137</v>
      </c>
      <c r="C40" s="104">
        <f t="shared" ref="C40:F40" si="2">sum(C3:C39)</f>
        <v>25390297</v>
      </c>
      <c r="D40" s="104">
        <f t="shared" si="2"/>
        <v>25087708</v>
      </c>
      <c r="E40" s="104">
        <f t="shared" si="2"/>
        <v>197790</v>
      </c>
      <c r="F40" s="104">
        <f t="shared" si="2"/>
        <v>104799</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CONSORTIUM OF FLORIDA EDUCATION FOUNDATIONS</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139</v>
      </c>
      <c r="B2" s="45">
        <v>1.0</v>
      </c>
      <c r="C2" s="46" t="s">
        <v>140</v>
      </c>
      <c r="D2" s="111"/>
      <c r="E2" s="112">
        <v>1473515.0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3"/>
      <c r="E3" s="112">
        <v>639144.0</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1"/>
      <c r="E4" s="112">
        <v>2450093.0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1"/>
      <c r="E10" s="112">
        <v>210369.0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2">
        <v>63081.0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2">
        <v>50199.0</v>
      </c>
      <c r="E12" s="109">
        <f>D11-D12</f>
        <v>12882</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4"/>
      <c r="E18" s="115">
        <f>sum(E2:E17)</f>
        <v>4786003</v>
      </c>
      <c r="F18" s="43"/>
      <c r="G18" s="43"/>
      <c r="H18" s="43"/>
      <c r="I18" s="43"/>
      <c r="J18" s="43"/>
      <c r="K18" s="43"/>
      <c r="L18" s="43"/>
      <c r="M18" s="43"/>
      <c r="N18" s="43"/>
      <c r="O18" s="43"/>
      <c r="P18" s="43"/>
      <c r="Q18" s="43"/>
      <c r="R18" s="43"/>
      <c r="S18" s="43"/>
      <c r="T18" s="43"/>
      <c r="U18" s="43"/>
      <c r="V18" s="43"/>
      <c r="W18" s="43"/>
      <c r="X18" s="43"/>
      <c r="Y18" s="43"/>
      <c r="Z18" s="43"/>
    </row>
    <row r="19">
      <c r="A19" s="44" t="s">
        <v>159</v>
      </c>
      <c r="B19" s="116">
        <v>17.0</v>
      </c>
      <c r="C19" s="117" t="s">
        <v>160</v>
      </c>
      <c r="D19" s="118"/>
      <c r="E19" s="112">
        <v>2669462.0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161</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162</v>
      </c>
      <c r="D21" s="118"/>
      <c r="E21" s="112">
        <v>1207563.0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163</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164</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165</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166</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167</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168</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169</v>
      </c>
      <c r="D28" s="126"/>
      <c r="E28" s="127">
        <f>sum(E19:E27)</f>
        <v>3877025</v>
      </c>
      <c r="F28" s="43"/>
      <c r="G28" s="43"/>
      <c r="H28" s="43"/>
      <c r="I28" s="43"/>
      <c r="J28" s="43"/>
      <c r="K28" s="43"/>
      <c r="L28" s="43"/>
      <c r="M28" s="43"/>
      <c r="N28" s="43"/>
      <c r="O28" s="43"/>
      <c r="P28" s="43"/>
      <c r="Q28" s="43"/>
      <c r="R28" s="43"/>
      <c r="S28" s="43"/>
      <c r="T28" s="43"/>
      <c r="U28" s="43"/>
      <c r="V28" s="43"/>
      <c r="W28" s="43"/>
      <c r="X28" s="43"/>
      <c r="Y28" s="43"/>
      <c r="Z28" s="43"/>
    </row>
    <row r="29">
      <c r="A29" s="65" t="s">
        <v>170</v>
      </c>
      <c r="B29" s="128"/>
      <c r="C29" s="129" t="s">
        <v>171</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172</v>
      </c>
      <c r="D30" s="118"/>
      <c r="E30" s="112">
        <v>908978.0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173</v>
      </c>
      <c r="D31" s="118"/>
      <c r="E31" s="112">
        <v>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174</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175</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176</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177</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178</v>
      </c>
      <c r="D36" s="132"/>
      <c r="E36" s="127">
        <f>sum(E30:E35)</f>
        <v>908978</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179</v>
      </c>
      <c r="D37" s="136"/>
      <c r="E37" s="137">
        <f>E36+E28</f>
        <v>4786003</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CONSORTIUM OF FLORIDA EDUCATION FOUNDATIONS</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180</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181</v>
      </c>
      <c r="C3" s="145" t="s">
        <v>182</v>
      </c>
      <c r="D3" s="146">
        <f>'Expenses 2023'!C40</f>
        <v>25390297</v>
      </c>
      <c r="E3" s="147"/>
      <c r="F3" s="43"/>
      <c r="G3" s="43"/>
      <c r="H3" s="43"/>
      <c r="I3" s="43"/>
      <c r="J3" s="43"/>
      <c r="K3" s="43"/>
      <c r="L3" s="43"/>
      <c r="M3" s="43"/>
      <c r="N3" s="43"/>
      <c r="O3" s="43"/>
      <c r="P3" s="43"/>
      <c r="Q3" s="43"/>
      <c r="R3" s="43"/>
      <c r="S3" s="43"/>
      <c r="T3" s="43"/>
      <c r="U3" s="43"/>
      <c r="V3" s="43"/>
      <c r="W3" s="43"/>
      <c r="X3" s="43"/>
      <c r="Y3" s="43"/>
    </row>
    <row r="4">
      <c r="A4" s="139"/>
      <c r="B4" s="49"/>
      <c r="C4" s="145" t="s">
        <v>183</v>
      </c>
      <c r="D4" s="146">
        <f>'Expenses 2023'!C31</f>
        <v>6533</v>
      </c>
      <c r="E4" s="147"/>
      <c r="F4" s="43"/>
      <c r="G4" s="43"/>
      <c r="H4" s="43"/>
      <c r="I4" s="43"/>
      <c r="J4" s="43"/>
      <c r="K4" s="43"/>
      <c r="L4" s="43"/>
      <c r="M4" s="43"/>
      <c r="N4" s="43"/>
      <c r="O4" s="43"/>
      <c r="P4" s="43"/>
      <c r="Q4" s="43"/>
      <c r="R4" s="43"/>
      <c r="S4" s="43"/>
      <c r="T4" s="43"/>
      <c r="U4" s="43"/>
      <c r="V4" s="43"/>
      <c r="W4" s="43"/>
      <c r="X4" s="43"/>
      <c r="Y4" s="43"/>
    </row>
    <row r="5">
      <c r="A5" s="139"/>
      <c r="B5" s="49"/>
      <c r="C5" s="145" t="s">
        <v>184</v>
      </c>
      <c r="D5" s="146">
        <f>D3-D4</f>
        <v>25383764</v>
      </c>
      <c r="E5" s="147"/>
      <c r="F5" s="43"/>
      <c r="G5" s="43"/>
      <c r="H5" s="43"/>
      <c r="I5" s="43"/>
      <c r="J5" s="43"/>
      <c r="K5" s="43"/>
      <c r="L5" s="43"/>
      <c r="M5" s="43"/>
      <c r="N5" s="43"/>
      <c r="O5" s="43"/>
      <c r="P5" s="43"/>
      <c r="Q5" s="43"/>
      <c r="R5" s="43"/>
      <c r="S5" s="43"/>
      <c r="T5" s="43"/>
      <c r="U5" s="43"/>
      <c r="V5" s="43"/>
      <c r="W5" s="43"/>
      <c r="X5" s="43"/>
      <c r="Y5" s="43"/>
    </row>
    <row r="6">
      <c r="A6" s="139"/>
      <c r="B6" s="49"/>
      <c r="C6" s="145" t="s">
        <v>185</v>
      </c>
      <c r="D6" s="146">
        <f>D5/12</f>
        <v>2115313.667</v>
      </c>
      <c r="E6" s="147"/>
      <c r="F6" s="43"/>
      <c r="G6" s="43"/>
      <c r="H6" s="43"/>
      <c r="I6" s="43"/>
      <c r="J6" s="43"/>
      <c r="K6" s="43"/>
      <c r="L6" s="43"/>
      <c r="M6" s="43"/>
      <c r="N6" s="43"/>
      <c r="O6" s="43"/>
      <c r="P6" s="43"/>
      <c r="Q6" s="43"/>
      <c r="R6" s="43"/>
      <c r="S6" s="43"/>
      <c r="T6" s="43"/>
      <c r="U6" s="43"/>
      <c r="V6" s="43"/>
      <c r="W6" s="43"/>
      <c r="X6" s="43"/>
      <c r="Y6" s="43"/>
    </row>
    <row r="7">
      <c r="A7" s="139"/>
      <c r="B7" s="49"/>
      <c r="C7" s="145" t="s">
        <v>186</v>
      </c>
      <c r="D7" s="75">
        <f>'Balance Sheet 2023'!E2+'Balance Sheet 2023'!E3</f>
        <v>2112659</v>
      </c>
      <c r="E7" s="147"/>
      <c r="F7" s="43"/>
      <c r="G7" s="43"/>
      <c r="H7" s="43"/>
      <c r="I7" s="43"/>
      <c r="J7" s="43"/>
      <c r="K7" s="43"/>
      <c r="L7" s="43"/>
      <c r="M7" s="43"/>
      <c r="N7" s="43"/>
      <c r="O7" s="43"/>
      <c r="P7" s="43"/>
      <c r="Q7" s="43"/>
      <c r="R7" s="43"/>
      <c r="S7" s="43"/>
      <c r="T7" s="43"/>
      <c r="U7" s="43"/>
      <c r="V7" s="43"/>
      <c r="W7" s="43"/>
      <c r="X7" s="43"/>
      <c r="Y7" s="43"/>
    </row>
    <row r="8">
      <c r="A8" s="139"/>
      <c r="B8" s="49"/>
      <c r="C8" s="148" t="s">
        <v>180</v>
      </c>
      <c r="D8" s="149">
        <f>D7/D6</f>
        <v>0.9987450246</v>
      </c>
      <c r="E8" s="150" t="s">
        <v>187</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188</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189</v>
      </c>
      <c r="C11" s="145" t="s">
        <v>190</v>
      </c>
      <c r="D11" s="75">
        <f>'Balance Sheet 2023'!E30</f>
        <v>908978</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191</v>
      </c>
      <c r="D12" s="75">
        <f>'Expenses 2023'!C40</f>
        <v>25390297</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192</v>
      </c>
      <c r="D13" s="146">
        <f>D12/12</f>
        <v>2115858.083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188</v>
      </c>
      <c r="D14" s="149">
        <f>D11/D13</f>
        <v>0.4296025367</v>
      </c>
      <c r="E14" s="150" t="s">
        <v>187</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193</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194</v>
      </c>
      <c r="C17" s="145" t="s">
        <v>195</v>
      </c>
      <c r="D17" s="75">
        <f>sum('Balance Sheet 2023'!E13:E15)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191</v>
      </c>
      <c r="D18" s="75">
        <f>'Expenses 2023'!C40</f>
        <v>25390297</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192</v>
      </c>
      <c r="D19" s="146">
        <f>D18/12</f>
        <v>2115858.083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196</v>
      </c>
      <c r="D20" s="149">
        <f>D17/D19</f>
        <v>0</v>
      </c>
      <c r="E20" s="150" t="s">
        <v>187</v>
      </c>
      <c r="F20" s="43"/>
      <c r="G20" s="43"/>
      <c r="H20" s="43"/>
      <c r="I20" s="43"/>
      <c r="J20" s="43"/>
      <c r="K20" s="43"/>
      <c r="L20" s="43"/>
      <c r="M20" s="43"/>
      <c r="N20" s="43"/>
      <c r="O20" s="43"/>
      <c r="P20" s="43"/>
      <c r="Q20" s="43"/>
      <c r="R20" s="43"/>
      <c r="S20" s="43"/>
      <c r="T20" s="43"/>
      <c r="U20" s="43"/>
      <c r="V20" s="43"/>
      <c r="W20" s="43"/>
      <c r="X20" s="43"/>
      <c r="Y20" s="43"/>
    </row>
    <row r="21">
      <c r="A21" s="139"/>
      <c r="B21" s="49"/>
      <c r="C21" s="154" t="s">
        <v>197</v>
      </c>
      <c r="D21" s="155">
        <f>D20+D8</f>
        <v>0.9987450246</v>
      </c>
      <c r="E21" s="156" t="s">
        <v>187</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198</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199</v>
      </c>
      <c r="C24" s="160"/>
      <c r="D24" s="161">
        <f>max('Revenues 2023'!E2:E7,'Revenues 2023'!F10:F15)</f>
        <v>21098697</v>
      </c>
      <c r="E24" s="162" t="s">
        <v>200</v>
      </c>
      <c r="F24" s="43"/>
      <c r="G24" s="43"/>
      <c r="H24" s="43"/>
      <c r="I24" s="43"/>
      <c r="J24" s="43"/>
      <c r="K24" s="43"/>
      <c r="L24" s="43"/>
      <c r="M24" s="43"/>
      <c r="N24" s="43"/>
      <c r="O24" s="43"/>
      <c r="P24" s="43"/>
      <c r="Q24" s="43"/>
      <c r="R24" s="43"/>
      <c r="S24" s="43"/>
      <c r="T24" s="43"/>
      <c r="U24" s="43"/>
      <c r="V24" s="43"/>
      <c r="W24" s="43"/>
      <c r="X24" s="43"/>
      <c r="Y24" s="43"/>
    </row>
    <row r="25">
      <c r="A25" s="139"/>
      <c r="B25" s="49"/>
      <c r="C25" s="145" t="s">
        <v>201</v>
      </c>
      <c r="D25" s="146">
        <f>'Revenues 2023'!F44</f>
        <v>25644105</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198</v>
      </c>
      <c r="D26" s="163">
        <f>D24/D25</f>
        <v>0.8227503748</v>
      </c>
      <c r="E26" s="150" t="s">
        <v>202</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203</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204</v>
      </c>
      <c r="C29" s="145" t="s">
        <v>205</v>
      </c>
      <c r="D29" s="75">
        <f>SUM('Expenses 2023'!C7:C9)</f>
        <v>501977</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206</v>
      </c>
      <c r="D30" s="75">
        <f>SUM('Expenses 2023'!C10:C12)</f>
        <v>98521</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207</v>
      </c>
      <c r="D31" s="75">
        <f>sum(D29:D30)</f>
        <v>600498</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182</v>
      </c>
      <c r="D32" s="75">
        <f>'Expenses 2023'!C40</f>
        <v>25390297</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208</v>
      </c>
      <c r="D33" s="163">
        <f>D31/D32</f>
        <v>0.02365068829</v>
      </c>
      <c r="E33" s="150" t="s">
        <v>209</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210</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211</v>
      </c>
      <c r="C36" s="145" t="s">
        <v>212</v>
      </c>
      <c r="D36" s="75">
        <f>SUM('Expenses 2023'!C10:C11)</f>
        <v>60077</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205</v>
      </c>
      <c r="D37" s="75">
        <f>SUM('Expenses 2023'!C7:C9)</f>
        <v>501977</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210</v>
      </c>
      <c r="D38" s="163">
        <f>D36/D37</f>
        <v>0.1196807822</v>
      </c>
      <c r="E38" s="150" t="s">
        <v>213</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214</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215</v>
      </c>
      <c r="C41" s="148" t="s">
        <v>245</v>
      </c>
      <c r="D41" s="75">
        <f>'Expenses 2023'!D40</f>
        <v>25087708</v>
      </c>
      <c r="E41" s="165">
        <f t="shared" ref="E41:E44" si="1">D41/$D$44</f>
        <v>0.9880824947</v>
      </c>
      <c r="F41" s="43"/>
      <c r="G41" s="43"/>
      <c r="H41" s="43"/>
      <c r="I41" s="43"/>
      <c r="J41" s="43"/>
      <c r="K41" s="43"/>
      <c r="L41" s="43"/>
      <c r="M41" s="43"/>
      <c r="N41" s="43"/>
      <c r="O41" s="43"/>
      <c r="P41" s="43"/>
      <c r="Q41" s="43"/>
      <c r="R41" s="43"/>
      <c r="S41" s="43"/>
      <c r="T41" s="43"/>
      <c r="U41" s="43"/>
      <c r="V41" s="43"/>
      <c r="W41" s="43"/>
      <c r="X41" s="43"/>
      <c r="Y41" s="43"/>
    </row>
    <row r="42">
      <c r="A42" s="139"/>
      <c r="B42" s="49"/>
      <c r="C42" s="148" t="s">
        <v>217</v>
      </c>
      <c r="D42" s="146">
        <f>'Expenses 2023'!E40</f>
        <v>197790</v>
      </c>
      <c r="E42" s="165">
        <f t="shared" si="1"/>
        <v>0.007789983709</v>
      </c>
      <c r="F42" s="43"/>
      <c r="G42" s="43"/>
      <c r="H42" s="43"/>
      <c r="I42" s="43"/>
      <c r="J42" s="43"/>
      <c r="K42" s="43"/>
      <c r="L42" s="43"/>
      <c r="M42" s="43"/>
      <c r="N42" s="43"/>
      <c r="O42" s="43"/>
      <c r="P42" s="43"/>
      <c r="Q42" s="43"/>
      <c r="R42" s="43"/>
      <c r="S42" s="43"/>
      <c r="T42" s="43"/>
      <c r="U42" s="43"/>
      <c r="V42" s="43"/>
      <c r="W42" s="43"/>
      <c r="X42" s="43"/>
      <c r="Y42" s="43"/>
    </row>
    <row r="43">
      <c r="A43" s="139"/>
      <c r="B43" s="49"/>
      <c r="C43" s="148" t="s">
        <v>218</v>
      </c>
      <c r="D43" s="146">
        <f>'Expenses 2023'!F40</f>
        <v>104799</v>
      </c>
      <c r="E43" s="165">
        <f t="shared" si="1"/>
        <v>0.004127521628</v>
      </c>
      <c r="F43" s="43"/>
      <c r="G43" s="43"/>
      <c r="H43" s="43"/>
      <c r="I43" s="43"/>
      <c r="J43" s="43"/>
      <c r="K43" s="43"/>
      <c r="L43" s="43"/>
      <c r="M43" s="43"/>
      <c r="N43" s="43"/>
      <c r="O43" s="43"/>
      <c r="P43" s="43"/>
      <c r="Q43" s="43"/>
      <c r="R43" s="43"/>
      <c r="S43" s="43"/>
      <c r="T43" s="43"/>
      <c r="U43" s="43"/>
      <c r="V43" s="43"/>
      <c r="W43" s="43"/>
      <c r="X43" s="43"/>
      <c r="Y43" s="43"/>
    </row>
    <row r="44">
      <c r="A44" s="139"/>
      <c r="B44" s="49"/>
      <c r="C44" s="145" t="s">
        <v>182</v>
      </c>
      <c r="D44" s="146">
        <f>sum(D41:D43)</f>
        <v>25390297</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219</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220</v>
      </c>
      <c r="C47" s="145" t="s">
        <v>221</v>
      </c>
      <c r="D47" s="146">
        <f>'Revenues 2023'!F9</f>
        <v>25613220</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222</v>
      </c>
      <c r="D48" s="146">
        <f>'Expenses 2023'!F40</f>
        <v>104799</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223</v>
      </c>
      <c r="D49" s="166">
        <f>D47/D48</f>
        <v>244.4032863</v>
      </c>
      <c r="E49" s="150" t="s">
        <v>224</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225</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226</v>
      </c>
      <c r="C52" s="145" t="s">
        <v>227</v>
      </c>
      <c r="D52" s="146">
        <f>sum('Balance Sheet 2023'!E2:E10)</f>
        <v>4773121</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228</v>
      </c>
      <c r="D53" s="146">
        <f>sum('Balance Sheet 2023'!E19:E22)</f>
        <v>3877025</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229</v>
      </c>
      <c r="D54" s="168">
        <f>D52/D53</f>
        <v>1.231129797</v>
      </c>
      <c r="E54" s="150" t="s">
        <v>230</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231</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232</v>
      </c>
      <c r="C57" s="145" t="s">
        <v>233</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234</v>
      </c>
      <c r="D58" s="146">
        <f>'Balance Sheet 2023'!E18</f>
        <v>4786003</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235</v>
      </c>
      <c r="D59" s="169">
        <f>D57/D58</f>
        <v>0</v>
      </c>
      <c r="E59" s="150" t="s">
        <v>236</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CONSORTIUM OF FLORIDA EDUCATION FOUNDATIONS</v>
      </c>
      <c r="B1" s="2" t="s">
        <v>246</v>
      </c>
      <c r="C1" s="139"/>
      <c r="D1" s="139"/>
      <c r="E1" s="139"/>
      <c r="F1" s="140"/>
      <c r="G1" s="140"/>
      <c r="H1" s="140"/>
      <c r="I1" s="43"/>
      <c r="J1" s="43"/>
      <c r="K1" s="43"/>
      <c r="L1" s="43"/>
      <c r="M1" s="43"/>
      <c r="N1" s="43"/>
      <c r="O1" s="43"/>
      <c r="P1" s="43"/>
      <c r="Q1" s="43"/>
      <c r="R1" s="43"/>
      <c r="S1" s="43"/>
      <c r="T1" s="43"/>
      <c r="U1" s="43"/>
      <c r="V1" s="43"/>
      <c r="W1" s="43"/>
      <c r="X1" s="43"/>
      <c r="Y1" s="43"/>
    </row>
    <row r="2">
      <c r="A2" s="141" t="s">
        <v>180</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181</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247</v>
      </c>
      <c r="E4" s="45" t="s">
        <v>248</v>
      </c>
      <c r="F4" s="45" t="s">
        <v>249</v>
      </c>
      <c r="G4" s="59" t="s">
        <v>250</v>
      </c>
      <c r="H4" s="59"/>
      <c r="I4" s="43"/>
      <c r="J4" s="43"/>
      <c r="K4" s="43"/>
      <c r="L4" s="43"/>
      <c r="M4" s="43"/>
      <c r="N4" s="43"/>
      <c r="O4" s="43"/>
      <c r="P4" s="43"/>
      <c r="Q4" s="43"/>
      <c r="R4" s="43"/>
      <c r="S4" s="43"/>
      <c r="T4" s="43"/>
      <c r="U4" s="43"/>
      <c r="V4" s="43"/>
      <c r="W4" s="43"/>
      <c r="X4" s="43"/>
      <c r="Y4" s="43"/>
    </row>
    <row r="5">
      <c r="A5" s="139"/>
      <c r="B5" s="49"/>
      <c r="C5" s="148" t="s">
        <v>180</v>
      </c>
      <c r="D5" s="177">
        <f>'Ratios 2021'!D8</f>
        <v>1.297852096</v>
      </c>
      <c r="E5" s="177">
        <f>'Ratios 2022'!D8</f>
        <v>0.9939077422</v>
      </c>
      <c r="F5" s="177">
        <f>'Ratios 2023'!D8</f>
        <v>0.9987450246</v>
      </c>
      <c r="G5" s="177">
        <f>average(D5:F5)</f>
        <v>1.096834954</v>
      </c>
      <c r="H5" s="150" t="s">
        <v>187</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188</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189</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247</v>
      </c>
      <c r="E9" s="45" t="s">
        <v>248</v>
      </c>
      <c r="F9" s="45" t="s">
        <v>249</v>
      </c>
      <c r="G9" s="59" t="s">
        <v>250</v>
      </c>
      <c r="H9" s="59"/>
      <c r="I9" s="43"/>
      <c r="J9" s="43"/>
      <c r="K9" s="43"/>
      <c r="L9" s="43"/>
      <c r="M9" s="43"/>
      <c r="N9" s="43"/>
      <c r="O9" s="43"/>
      <c r="P9" s="43"/>
      <c r="Q9" s="43"/>
      <c r="R9" s="43"/>
      <c r="S9" s="43"/>
      <c r="T9" s="43"/>
      <c r="U9" s="43"/>
      <c r="V9" s="43"/>
      <c r="W9" s="43"/>
      <c r="X9" s="43"/>
      <c r="Y9" s="43"/>
    </row>
    <row r="10">
      <c r="A10" s="139"/>
      <c r="B10" s="49"/>
      <c r="C10" s="148" t="s">
        <v>188</v>
      </c>
      <c r="D10" s="149">
        <f>'Ratios 2021'!D14</f>
        <v>1.028697696</v>
      </c>
      <c r="E10" s="149">
        <f>'Ratios 2022'!D14</f>
        <v>0.8708836777</v>
      </c>
      <c r="F10" s="149">
        <f>'Ratios 2023'!D14</f>
        <v>0.4296025367</v>
      </c>
      <c r="G10" s="177">
        <f>average(D10:F10)</f>
        <v>0.7763946368</v>
      </c>
      <c r="H10" s="150" t="s">
        <v>187</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193</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194</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247</v>
      </c>
      <c r="E14" s="45" t="s">
        <v>248</v>
      </c>
      <c r="F14" s="45" t="s">
        <v>249</v>
      </c>
      <c r="G14" s="59" t="s">
        <v>250</v>
      </c>
      <c r="H14" s="59"/>
      <c r="I14" s="43"/>
      <c r="J14" s="43"/>
      <c r="K14" s="43"/>
      <c r="L14" s="43"/>
      <c r="M14" s="43"/>
      <c r="N14" s="43"/>
      <c r="O14" s="43"/>
      <c r="P14" s="43"/>
      <c r="Q14" s="43"/>
      <c r="R14" s="43"/>
      <c r="S14" s="43"/>
      <c r="T14" s="43"/>
      <c r="U14" s="43"/>
      <c r="V14" s="43"/>
      <c r="W14" s="43"/>
      <c r="X14" s="43"/>
      <c r="Y14" s="43"/>
    </row>
    <row r="15">
      <c r="A15" s="139"/>
      <c r="B15" s="49"/>
      <c r="C15" s="148" t="s">
        <v>196</v>
      </c>
      <c r="D15" s="180">
        <f>'Ratios 2021'!D20</f>
        <v>0</v>
      </c>
      <c r="E15" s="180">
        <f>'Ratios 2022'!D20</f>
        <v>0</v>
      </c>
      <c r="F15" s="180">
        <f>'Ratios 2023'!D20</f>
        <v>0</v>
      </c>
      <c r="G15" s="177">
        <f>average(D15:F15)</f>
        <v>0</v>
      </c>
      <c r="H15" s="150" t="s">
        <v>187</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198</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199</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247</v>
      </c>
      <c r="E19" s="45" t="s">
        <v>248</v>
      </c>
      <c r="F19" s="45" t="s">
        <v>249</v>
      </c>
      <c r="G19" s="59" t="s">
        <v>250</v>
      </c>
      <c r="H19" s="59"/>
      <c r="I19" s="43"/>
      <c r="J19" s="43"/>
      <c r="K19" s="43"/>
      <c r="L19" s="43"/>
      <c r="M19" s="43"/>
      <c r="N19" s="43"/>
      <c r="O19" s="43"/>
      <c r="P19" s="43"/>
      <c r="Q19" s="43"/>
      <c r="R19" s="43"/>
      <c r="S19" s="43"/>
      <c r="T19" s="43"/>
      <c r="U19" s="43"/>
      <c r="V19" s="43"/>
      <c r="W19" s="43"/>
      <c r="X19" s="43"/>
      <c r="Y19" s="43"/>
    </row>
    <row r="20">
      <c r="A20" s="139"/>
      <c r="B20" s="49"/>
      <c r="C20" s="148" t="s">
        <v>198</v>
      </c>
      <c r="D20" s="163">
        <f>'Ratios 2021'!D26</f>
        <v>0.8356541306</v>
      </c>
      <c r="E20" s="163">
        <f>'Ratios 2022'!D26</f>
        <v>0.7786078072</v>
      </c>
      <c r="F20" s="163">
        <f>'Ratios 2023'!D26</f>
        <v>0.8227503748</v>
      </c>
      <c r="G20" s="181">
        <f>average(D20:F20)</f>
        <v>0.8123374375</v>
      </c>
      <c r="H20" s="150" t="s">
        <v>202</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203</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204</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247</v>
      </c>
      <c r="E24" s="45" t="s">
        <v>248</v>
      </c>
      <c r="F24" s="45" t="s">
        <v>249</v>
      </c>
      <c r="G24" s="59" t="s">
        <v>250</v>
      </c>
      <c r="H24" s="59"/>
      <c r="I24" s="43"/>
      <c r="J24" s="43"/>
      <c r="K24" s="43"/>
      <c r="L24" s="43"/>
      <c r="M24" s="43"/>
      <c r="N24" s="43"/>
      <c r="O24" s="43"/>
      <c r="P24" s="43"/>
      <c r="Q24" s="43"/>
      <c r="R24" s="43"/>
      <c r="S24" s="43"/>
      <c r="T24" s="43"/>
      <c r="U24" s="43"/>
      <c r="V24" s="43"/>
      <c r="W24" s="43"/>
      <c r="X24" s="43"/>
      <c r="Y24" s="43"/>
    </row>
    <row r="25">
      <c r="A25" s="139"/>
      <c r="B25" s="49"/>
      <c r="C25" s="148" t="s">
        <v>208</v>
      </c>
      <c r="D25" s="163">
        <f>'Ratios 2021'!D33</f>
        <v>0.05211861811</v>
      </c>
      <c r="E25" s="163">
        <f>'Ratios 2022'!D33</f>
        <v>0.04901991192</v>
      </c>
      <c r="F25" s="163">
        <f>'Ratios 2023'!D33</f>
        <v>0.02365068829</v>
      </c>
      <c r="G25" s="181">
        <f>average(D25:F25)</f>
        <v>0.04159640611</v>
      </c>
      <c r="H25" s="150" t="s">
        <v>209</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210</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211</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247</v>
      </c>
      <c r="E29" s="45" t="s">
        <v>248</v>
      </c>
      <c r="F29" s="45" t="s">
        <v>249</v>
      </c>
      <c r="G29" s="59" t="s">
        <v>250</v>
      </c>
      <c r="H29" s="59"/>
      <c r="I29" s="43"/>
      <c r="J29" s="43"/>
      <c r="K29" s="43"/>
      <c r="L29" s="43"/>
      <c r="M29" s="43"/>
      <c r="N29" s="43"/>
      <c r="O29" s="43"/>
      <c r="P29" s="43"/>
      <c r="Q29" s="43"/>
      <c r="R29" s="43"/>
      <c r="S29" s="43"/>
      <c r="T29" s="43"/>
      <c r="U29" s="43"/>
      <c r="V29" s="43"/>
      <c r="W29" s="43"/>
      <c r="X29" s="43"/>
      <c r="Y29" s="43"/>
    </row>
    <row r="30">
      <c r="A30" s="139"/>
      <c r="B30" s="49"/>
      <c r="C30" s="148" t="s">
        <v>210</v>
      </c>
      <c r="D30" s="163">
        <f>'Ratios 2021'!D38</f>
        <v>0.127641444</v>
      </c>
      <c r="E30" s="163">
        <f>'Ratios 2022'!D38</f>
        <v>0.1073986759</v>
      </c>
      <c r="F30" s="163">
        <f>'Ratios 2023'!D38</f>
        <v>0.1196807822</v>
      </c>
      <c r="G30" s="181">
        <f>average(D30:F30)</f>
        <v>0.1182403007</v>
      </c>
      <c r="H30" s="150" t="s">
        <v>213</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214</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215</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247</v>
      </c>
      <c r="E34" s="45" t="s">
        <v>248</v>
      </c>
      <c r="F34" s="45" t="s">
        <v>249</v>
      </c>
      <c r="G34" s="59" t="s">
        <v>250</v>
      </c>
      <c r="H34" s="59"/>
      <c r="I34" s="43"/>
      <c r="J34" s="43"/>
      <c r="K34" s="43"/>
      <c r="L34" s="43"/>
      <c r="M34" s="43"/>
      <c r="N34" s="43"/>
      <c r="O34" s="43"/>
      <c r="P34" s="43"/>
      <c r="Q34" s="43"/>
      <c r="R34" s="43"/>
      <c r="S34" s="43"/>
      <c r="T34" s="43"/>
      <c r="U34" s="43"/>
      <c r="V34" s="43"/>
      <c r="W34" s="43"/>
      <c r="X34" s="43"/>
      <c r="Y34" s="43"/>
    </row>
    <row r="35">
      <c r="A35" s="139"/>
      <c r="B35" s="49"/>
      <c r="C35" s="148" t="s">
        <v>251</v>
      </c>
      <c r="D35" s="163">
        <f>'Ratios 2021'!E41</f>
        <v>0.9697538582</v>
      </c>
      <c r="E35" s="163">
        <f>'Ratios 2022'!E41</f>
        <v>0.9753669224</v>
      </c>
      <c r="F35" s="163">
        <f>'Ratios 2023'!E41</f>
        <v>0.9880824947</v>
      </c>
      <c r="G35" s="181">
        <f t="shared" ref="G35:G37" si="1">average(D35:F35)</f>
        <v>0.9777344251</v>
      </c>
      <c r="H35" s="181"/>
      <c r="I35" s="43"/>
      <c r="J35" s="43"/>
      <c r="K35" s="43"/>
      <c r="L35" s="43"/>
      <c r="M35" s="43"/>
      <c r="N35" s="43"/>
      <c r="O35" s="43"/>
      <c r="P35" s="43"/>
      <c r="Q35" s="43"/>
      <c r="R35" s="43"/>
      <c r="S35" s="43"/>
      <c r="T35" s="43"/>
      <c r="U35" s="43"/>
      <c r="V35" s="43"/>
      <c r="W35" s="43"/>
      <c r="X35" s="43"/>
      <c r="Y35" s="43"/>
    </row>
    <row r="36">
      <c r="A36" s="139"/>
      <c r="B36" s="52"/>
      <c r="C36" s="148" t="s">
        <v>217</v>
      </c>
      <c r="D36" s="163">
        <f>'Ratios 2021'!E42</f>
        <v>0.01838822953</v>
      </c>
      <c r="E36" s="163">
        <f>'Ratios 2022'!E42</f>
        <v>0.01483784609</v>
      </c>
      <c r="F36" s="163">
        <f>'Ratios 2023'!E42</f>
        <v>0.007789983709</v>
      </c>
      <c r="G36" s="181">
        <f t="shared" si="1"/>
        <v>0.01367201978</v>
      </c>
      <c r="H36" s="181"/>
      <c r="I36" s="43"/>
      <c r="J36" s="43"/>
      <c r="K36" s="43"/>
      <c r="L36" s="43"/>
      <c r="M36" s="43"/>
      <c r="N36" s="43"/>
      <c r="O36" s="43"/>
      <c r="P36" s="43"/>
      <c r="Q36" s="43"/>
      <c r="R36" s="43"/>
      <c r="S36" s="43"/>
      <c r="T36" s="43"/>
      <c r="U36" s="43"/>
      <c r="V36" s="43"/>
      <c r="W36" s="43"/>
      <c r="X36" s="43"/>
      <c r="Y36" s="43"/>
    </row>
    <row r="37">
      <c r="A37" s="139"/>
      <c r="B37" s="182"/>
      <c r="C37" s="148" t="s">
        <v>218</v>
      </c>
      <c r="D37" s="163">
        <f>'Ratios 2021'!E43</f>
        <v>0.01185791224</v>
      </c>
      <c r="E37" s="163">
        <f>'Ratios 2022'!E43</f>
        <v>0.009795231499</v>
      </c>
      <c r="F37" s="163">
        <f>'Ratios 2023'!E43</f>
        <v>0.004127521628</v>
      </c>
      <c r="G37" s="181">
        <f t="shared" si="1"/>
        <v>0.008593555121</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219</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220</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247</v>
      </c>
      <c r="E41" s="45" t="s">
        <v>248</v>
      </c>
      <c r="F41" s="45" t="s">
        <v>249</v>
      </c>
      <c r="G41" s="59" t="s">
        <v>250</v>
      </c>
      <c r="H41" s="59"/>
      <c r="I41" s="43"/>
      <c r="J41" s="43"/>
      <c r="K41" s="43"/>
      <c r="L41" s="43"/>
      <c r="M41" s="43"/>
      <c r="N41" s="43"/>
      <c r="O41" s="43"/>
      <c r="P41" s="43"/>
      <c r="Q41" s="43"/>
      <c r="R41" s="43"/>
      <c r="S41" s="43"/>
      <c r="T41" s="43"/>
      <c r="U41" s="43"/>
      <c r="V41" s="43"/>
      <c r="W41" s="43"/>
      <c r="X41" s="43"/>
      <c r="Y41" s="43"/>
    </row>
    <row r="42">
      <c r="A42" s="139"/>
      <c r="B42" s="49"/>
      <c r="C42" s="148" t="s">
        <v>223</v>
      </c>
      <c r="D42" s="166">
        <f>'Ratios 2021'!D49</f>
        <v>84.14649382</v>
      </c>
      <c r="E42" s="166">
        <f>'Ratios 2022'!D49</f>
        <v>102.3290813</v>
      </c>
      <c r="F42" s="166">
        <f>'Ratios 2023'!D49</f>
        <v>244.4032863</v>
      </c>
      <c r="G42" s="183">
        <f>average(D42:F42)</f>
        <v>143.6262871</v>
      </c>
      <c r="H42" s="150" t="s">
        <v>224</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225</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226</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247</v>
      </c>
      <c r="E46" s="45" t="s">
        <v>248</v>
      </c>
      <c r="F46" s="45" t="s">
        <v>249</v>
      </c>
      <c r="G46" s="59" t="s">
        <v>250</v>
      </c>
      <c r="H46" s="59"/>
      <c r="I46" s="43"/>
      <c r="J46" s="43"/>
      <c r="K46" s="43"/>
      <c r="L46" s="43"/>
      <c r="M46" s="43"/>
      <c r="N46" s="43"/>
      <c r="O46" s="43"/>
      <c r="P46" s="43"/>
      <c r="Q46" s="43"/>
      <c r="R46" s="43"/>
      <c r="S46" s="43"/>
      <c r="T46" s="43"/>
      <c r="U46" s="43"/>
      <c r="V46" s="43"/>
      <c r="W46" s="43"/>
      <c r="X46" s="43"/>
      <c r="Y46" s="43"/>
    </row>
    <row r="47">
      <c r="A47" s="139"/>
      <c r="B47" s="49"/>
      <c r="C47" s="148" t="s">
        <v>229</v>
      </c>
      <c r="D47" s="149">
        <f>'Ratios 2021'!D54</f>
        <v>4.178557362</v>
      </c>
      <c r="E47" s="149">
        <f>'Ratios 2022'!D54</f>
        <v>1.796448924</v>
      </c>
      <c r="F47" s="149">
        <f>'Ratios 2023'!D54</f>
        <v>1.231129797</v>
      </c>
      <c r="G47" s="177">
        <f>average(D47:F47)</f>
        <v>2.402045361</v>
      </c>
      <c r="H47" s="150" t="s">
        <v>230</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231</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232</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247</v>
      </c>
      <c r="E51" s="45" t="s">
        <v>248</v>
      </c>
      <c r="F51" s="45" t="s">
        <v>249</v>
      </c>
      <c r="G51" s="59" t="s">
        <v>250</v>
      </c>
      <c r="H51" s="59"/>
      <c r="I51" s="43"/>
      <c r="J51" s="43"/>
      <c r="K51" s="43"/>
      <c r="L51" s="43"/>
      <c r="M51" s="43"/>
      <c r="N51" s="43"/>
      <c r="O51" s="43"/>
      <c r="P51" s="43"/>
      <c r="Q51" s="43"/>
      <c r="R51" s="43"/>
      <c r="S51" s="43"/>
      <c r="T51" s="43"/>
      <c r="U51" s="43"/>
      <c r="V51" s="43"/>
      <c r="W51" s="43"/>
      <c r="X51" s="43"/>
      <c r="Y51" s="43"/>
    </row>
    <row r="52">
      <c r="A52" s="139"/>
      <c r="B52" s="49"/>
      <c r="C52" s="148" t="s">
        <v>235</v>
      </c>
      <c r="D52" s="184">
        <f>'Ratios 2021'!D59</f>
        <v>0</v>
      </c>
      <c r="E52" s="184">
        <f>'Ratios 2022'!D59</f>
        <v>0</v>
      </c>
      <c r="F52" s="184">
        <f>'Ratios 2023'!D59</f>
        <v>0</v>
      </c>
      <c r="G52" s="185">
        <f>average(D52:F52)</f>
        <v>0</v>
      </c>
      <c r="H52" s="150" t="s">
        <v>236</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CONSORTIUM OF FLORIDA EDUCATION FOUNDATIONS</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CONSORTIUM OF FLORIDA EDUCATION FOUNDATIONS</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93950.0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6000000.0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1072302.0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7166252</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2553.0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79</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c r="D39" s="74"/>
      <c r="E39" s="48">
        <v>11199.0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96</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11199</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7180004</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CONSORTIUM OF FLORIDA EDUCATION FOUNDATIONS</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6478912</v>
      </c>
      <c r="D3" s="99">
        <v>6478912.0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156106</v>
      </c>
      <c r="D7" s="99">
        <v>124884.0</v>
      </c>
      <c r="E7" s="99">
        <v>15611.0</v>
      </c>
      <c r="F7" s="99">
        <v>15611.0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108</v>
      </c>
      <c r="C9" s="98">
        <f t="shared" si="1"/>
        <v>158400</v>
      </c>
      <c r="D9" s="99">
        <v>126720.0</v>
      </c>
      <c r="E9" s="99">
        <v>15840.0</v>
      </c>
      <c r="F9" s="99">
        <v>15840.0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40144</v>
      </c>
      <c r="D11" s="99">
        <v>32116.0</v>
      </c>
      <c r="E11" s="99">
        <v>4014.0</v>
      </c>
      <c r="F11" s="99">
        <v>4014.0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19668</v>
      </c>
      <c r="D12" s="99">
        <v>15734.0</v>
      </c>
      <c r="E12" s="99">
        <v>1967.0</v>
      </c>
      <c r="F12" s="99">
        <v>1967.0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20120</v>
      </c>
      <c r="D16" s="99">
        <v>0.0</v>
      </c>
      <c r="E16" s="99">
        <v>20120.0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76176</v>
      </c>
      <c r="D17" s="99">
        <v>0.0</v>
      </c>
      <c r="E17" s="99">
        <v>38088.0</v>
      </c>
      <c r="F17" s="99">
        <v>38088.0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44128</v>
      </c>
      <c r="D20" s="99">
        <v>18000.0</v>
      </c>
      <c r="E20" s="99">
        <v>26128.0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12745</v>
      </c>
      <c r="D21" s="99">
        <v>6596.0</v>
      </c>
      <c r="E21" s="99">
        <v>0.0</v>
      </c>
      <c r="F21" s="99">
        <v>6149.0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22426</v>
      </c>
      <c r="D22" s="99">
        <v>17941.0</v>
      </c>
      <c r="E22" s="99">
        <v>2594.0</v>
      </c>
      <c r="F22" s="99">
        <v>1891.0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22195</v>
      </c>
      <c r="D23" s="99">
        <v>22195.0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10800</v>
      </c>
      <c r="D25" s="99">
        <v>8640.0</v>
      </c>
      <c r="E25" s="99">
        <v>1080.0</v>
      </c>
      <c r="F25" s="99">
        <v>1080.0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13823</v>
      </c>
      <c r="D26" s="99">
        <v>13823.0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51364</v>
      </c>
      <c r="D28" s="99">
        <v>51364.0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3974</v>
      </c>
      <c r="D31" s="99">
        <v>3577.0</v>
      </c>
      <c r="E31" s="99">
        <v>397.0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3816</v>
      </c>
      <c r="D32" s="99">
        <v>0.0</v>
      </c>
      <c r="E32" s="99">
        <v>3816.0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102" t="s">
        <v>133</v>
      </c>
      <c r="C34" s="98">
        <f t="shared" si="1"/>
        <v>37701</v>
      </c>
      <c r="D34" s="99">
        <v>35816.0</v>
      </c>
      <c r="E34" s="99">
        <v>1885.0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3" t="s">
        <v>134</v>
      </c>
      <c r="C35" s="98">
        <f t="shared" si="1"/>
        <v>5244</v>
      </c>
      <c r="D35" s="99">
        <v>4195.0</v>
      </c>
      <c r="E35" s="99">
        <v>525.0</v>
      </c>
      <c r="F35" s="99">
        <v>524.0</v>
      </c>
      <c r="G35" s="43"/>
      <c r="H35" s="43"/>
      <c r="I35" s="43"/>
      <c r="J35" s="43"/>
      <c r="K35" s="43"/>
      <c r="L35" s="43"/>
      <c r="M35" s="43"/>
      <c r="N35" s="43"/>
      <c r="O35" s="43"/>
      <c r="P35" s="43"/>
      <c r="Q35" s="43"/>
      <c r="R35" s="43"/>
      <c r="S35" s="43"/>
      <c r="T35" s="43"/>
      <c r="U35" s="43"/>
      <c r="V35" s="43"/>
      <c r="W35" s="43"/>
      <c r="X35" s="43"/>
      <c r="Y35" s="43"/>
      <c r="Z35" s="43"/>
    </row>
    <row r="36">
      <c r="A36" s="45" t="s">
        <v>50</v>
      </c>
      <c r="B36" s="103" t="s">
        <v>135</v>
      </c>
      <c r="C36" s="98">
        <f t="shared" si="1"/>
        <v>4298</v>
      </c>
      <c r="D36" s="99">
        <v>4298.0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3"/>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136</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137</v>
      </c>
      <c r="C40" s="104">
        <f t="shared" ref="C40:F40" si="2">sum(C3:C39)</f>
        <v>7182040</v>
      </c>
      <c r="D40" s="104">
        <f t="shared" si="2"/>
        <v>6964811</v>
      </c>
      <c r="E40" s="104">
        <f t="shared" si="2"/>
        <v>132065</v>
      </c>
      <c r="F40" s="104">
        <f t="shared" si="2"/>
        <v>85164</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
        <v>138</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139</v>
      </c>
      <c r="B2" s="45">
        <v>1.0</v>
      </c>
      <c r="C2" s="46" t="s">
        <v>140</v>
      </c>
      <c r="D2" s="111"/>
      <c r="E2" s="112">
        <v>359776.0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3"/>
      <c r="E3" s="112">
        <v>416563.0</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3"/>
      <c r="E5" s="112">
        <v>8500.0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1"/>
      <c r="E10" s="112">
        <v>220.0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2">
        <v>81941.0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2">
        <v>63443.0</v>
      </c>
      <c r="E12" s="109">
        <f>D11-D12</f>
        <v>18498</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4"/>
      <c r="E18" s="115">
        <f>sum(E2:E17)</f>
        <v>803557</v>
      </c>
      <c r="F18" s="43"/>
      <c r="G18" s="43"/>
      <c r="H18" s="43"/>
      <c r="I18" s="43"/>
      <c r="J18" s="43"/>
      <c r="K18" s="43"/>
      <c r="L18" s="43"/>
      <c r="M18" s="43"/>
      <c r="N18" s="43"/>
      <c r="O18" s="43"/>
      <c r="P18" s="43"/>
      <c r="Q18" s="43"/>
      <c r="R18" s="43"/>
      <c r="S18" s="43"/>
      <c r="T18" s="43"/>
      <c r="U18" s="43"/>
      <c r="V18" s="43"/>
      <c r="W18" s="43"/>
      <c r="X18" s="43"/>
      <c r="Y18" s="43"/>
      <c r="Z18" s="43"/>
    </row>
    <row r="19">
      <c r="A19" s="44" t="s">
        <v>159</v>
      </c>
      <c r="B19" s="116">
        <v>17.0</v>
      </c>
      <c r="C19" s="117" t="s">
        <v>160</v>
      </c>
      <c r="D19" s="118"/>
      <c r="E19" s="112">
        <v>12878.0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161</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162</v>
      </c>
      <c r="D21" s="118"/>
      <c r="E21" s="112">
        <v>175000.0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163</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164</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165</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166</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167</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168</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169</v>
      </c>
      <c r="D28" s="126"/>
      <c r="E28" s="127">
        <f>sum(E19:E27)</f>
        <v>187878</v>
      </c>
      <c r="F28" s="43"/>
      <c r="G28" s="43"/>
      <c r="H28" s="43"/>
      <c r="I28" s="43"/>
      <c r="J28" s="43"/>
      <c r="K28" s="43"/>
      <c r="L28" s="43"/>
      <c r="M28" s="43"/>
      <c r="N28" s="43"/>
      <c r="O28" s="43"/>
      <c r="P28" s="43"/>
      <c r="Q28" s="43"/>
      <c r="R28" s="43"/>
      <c r="S28" s="43"/>
      <c r="T28" s="43"/>
      <c r="U28" s="43"/>
      <c r="V28" s="43"/>
      <c r="W28" s="43"/>
      <c r="X28" s="43"/>
      <c r="Y28" s="43"/>
      <c r="Z28" s="43"/>
    </row>
    <row r="29">
      <c r="A29" s="65" t="s">
        <v>170</v>
      </c>
      <c r="B29" s="128"/>
      <c r="C29" s="129" t="s">
        <v>171</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172</v>
      </c>
      <c r="D30" s="118"/>
      <c r="E30" s="112">
        <v>615679.0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173</v>
      </c>
      <c r="D31" s="118"/>
      <c r="E31" s="112">
        <v>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174</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175</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176</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177</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178</v>
      </c>
      <c r="D36" s="132"/>
      <c r="E36" s="127">
        <f>sum(E30:E35)</f>
        <v>615679</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179</v>
      </c>
      <c r="D37" s="136"/>
      <c r="E37" s="137">
        <f>E36+E28</f>
        <v>803557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CONSORTIUM OF FLORIDA EDUCATION FOUNDATIONS</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180</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181</v>
      </c>
      <c r="C3" s="145" t="s">
        <v>182</v>
      </c>
      <c r="D3" s="146">
        <f>'Expenses 2021'!C40</f>
        <v>7182040</v>
      </c>
      <c r="E3" s="147"/>
      <c r="F3" s="43"/>
      <c r="G3" s="43"/>
      <c r="H3" s="43"/>
      <c r="I3" s="43"/>
      <c r="J3" s="43"/>
      <c r="K3" s="43"/>
      <c r="L3" s="43"/>
      <c r="M3" s="43"/>
      <c r="N3" s="43"/>
      <c r="O3" s="43"/>
      <c r="P3" s="43"/>
      <c r="Q3" s="43"/>
      <c r="R3" s="43"/>
      <c r="S3" s="43"/>
      <c r="T3" s="43"/>
      <c r="U3" s="43"/>
      <c r="V3" s="43"/>
      <c r="W3" s="43"/>
      <c r="X3" s="43"/>
      <c r="Y3" s="43"/>
    </row>
    <row r="4">
      <c r="A4" s="139"/>
      <c r="B4" s="49"/>
      <c r="C4" s="145" t="s">
        <v>183</v>
      </c>
      <c r="D4" s="146">
        <f>'Expenses 2021'!C31</f>
        <v>3974</v>
      </c>
      <c r="E4" s="147"/>
      <c r="F4" s="43"/>
      <c r="G4" s="43"/>
      <c r="H4" s="43"/>
      <c r="I4" s="43"/>
      <c r="J4" s="43"/>
      <c r="K4" s="43"/>
      <c r="L4" s="43"/>
      <c r="M4" s="43"/>
      <c r="N4" s="43"/>
      <c r="O4" s="43"/>
      <c r="P4" s="43"/>
      <c r="Q4" s="43"/>
      <c r="R4" s="43"/>
      <c r="S4" s="43"/>
      <c r="T4" s="43"/>
      <c r="U4" s="43"/>
      <c r="V4" s="43"/>
      <c r="W4" s="43"/>
      <c r="X4" s="43"/>
      <c r="Y4" s="43"/>
    </row>
    <row r="5">
      <c r="A5" s="139"/>
      <c r="B5" s="49"/>
      <c r="C5" s="145" t="s">
        <v>184</v>
      </c>
      <c r="D5" s="146">
        <f>D3-D4</f>
        <v>7178066</v>
      </c>
      <c r="E5" s="147"/>
      <c r="F5" s="43"/>
      <c r="G5" s="43"/>
      <c r="H5" s="43"/>
      <c r="I5" s="43"/>
      <c r="J5" s="43"/>
      <c r="K5" s="43"/>
      <c r="L5" s="43"/>
      <c r="M5" s="43"/>
      <c r="N5" s="43"/>
      <c r="O5" s="43"/>
      <c r="P5" s="43"/>
      <c r="Q5" s="43"/>
      <c r="R5" s="43"/>
      <c r="S5" s="43"/>
      <c r="T5" s="43"/>
      <c r="U5" s="43"/>
      <c r="V5" s="43"/>
      <c r="W5" s="43"/>
      <c r="X5" s="43"/>
      <c r="Y5" s="43"/>
    </row>
    <row r="6">
      <c r="A6" s="139"/>
      <c r="B6" s="49"/>
      <c r="C6" s="145" t="s">
        <v>185</v>
      </c>
      <c r="D6" s="146">
        <f>D5/12</f>
        <v>598172.1667</v>
      </c>
      <c r="E6" s="147"/>
      <c r="F6" s="43"/>
      <c r="G6" s="43"/>
      <c r="H6" s="43"/>
      <c r="I6" s="43"/>
      <c r="J6" s="43"/>
      <c r="K6" s="43"/>
      <c r="L6" s="43"/>
      <c r="M6" s="43"/>
      <c r="N6" s="43"/>
      <c r="O6" s="43"/>
      <c r="P6" s="43"/>
      <c r="Q6" s="43"/>
      <c r="R6" s="43"/>
      <c r="S6" s="43"/>
      <c r="T6" s="43"/>
      <c r="U6" s="43"/>
      <c r="V6" s="43"/>
      <c r="W6" s="43"/>
      <c r="X6" s="43"/>
      <c r="Y6" s="43"/>
    </row>
    <row r="7">
      <c r="A7" s="139"/>
      <c r="B7" s="49"/>
      <c r="C7" s="145" t="s">
        <v>186</v>
      </c>
      <c r="D7" s="75">
        <f>'Balance Sheet 2021'!E2+'Balance Sheet 2021'!E3</f>
        <v>776339</v>
      </c>
      <c r="E7" s="147"/>
      <c r="F7" s="43"/>
      <c r="G7" s="43"/>
      <c r="H7" s="43"/>
      <c r="I7" s="43"/>
      <c r="J7" s="43"/>
      <c r="K7" s="43"/>
      <c r="L7" s="43"/>
      <c r="M7" s="43"/>
      <c r="N7" s="43"/>
      <c r="O7" s="43"/>
      <c r="P7" s="43"/>
      <c r="Q7" s="43"/>
      <c r="R7" s="43"/>
      <c r="S7" s="43"/>
      <c r="T7" s="43"/>
      <c r="U7" s="43"/>
      <c r="V7" s="43"/>
      <c r="W7" s="43"/>
      <c r="X7" s="43"/>
      <c r="Y7" s="43"/>
    </row>
    <row r="8">
      <c r="A8" s="139"/>
      <c r="B8" s="49"/>
      <c r="C8" s="148" t="s">
        <v>180</v>
      </c>
      <c r="D8" s="149">
        <f>D7/D6</f>
        <v>1.297852096</v>
      </c>
      <c r="E8" s="150" t="s">
        <v>187</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188</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189</v>
      </c>
      <c r="C11" s="145" t="s">
        <v>190</v>
      </c>
      <c r="D11" s="75">
        <f>'Balance Sheet 2021'!E30</f>
        <v>615679</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191</v>
      </c>
      <c r="D12" s="75">
        <f>'Expenses 2021'!C40</f>
        <v>7182040</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192</v>
      </c>
      <c r="D13" s="146">
        <f>D12/12</f>
        <v>598503.3333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188</v>
      </c>
      <c r="D14" s="149">
        <f>D11/D13</f>
        <v>1.028697696</v>
      </c>
      <c r="E14" s="150" t="s">
        <v>187</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193</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194</v>
      </c>
      <c r="C17" s="145" t="s">
        <v>195</v>
      </c>
      <c r="D17" s="75">
        <f>sum('Balance Sheet 2021'!E13:E15)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191</v>
      </c>
      <c r="D18" s="75">
        <f>'Expenses 2021'!C40</f>
        <v>7182040</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192</v>
      </c>
      <c r="D19" s="146">
        <f>D18/12</f>
        <v>598503.3333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196</v>
      </c>
      <c r="D20" s="149">
        <f>D17/D19</f>
        <v>0</v>
      </c>
      <c r="E20" s="150" t="s">
        <v>187</v>
      </c>
      <c r="F20" s="43"/>
      <c r="G20" s="43"/>
      <c r="H20" s="43"/>
      <c r="I20" s="43"/>
      <c r="J20" s="43"/>
      <c r="K20" s="43"/>
      <c r="L20" s="43"/>
      <c r="M20" s="43"/>
      <c r="N20" s="43"/>
      <c r="O20" s="43"/>
      <c r="P20" s="43"/>
      <c r="Q20" s="43"/>
      <c r="R20" s="43"/>
      <c r="S20" s="43"/>
      <c r="T20" s="43"/>
      <c r="U20" s="43"/>
      <c r="V20" s="43"/>
      <c r="W20" s="43"/>
      <c r="X20" s="43"/>
      <c r="Y20" s="43"/>
    </row>
    <row r="21">
      <c r="A21" s="139"/>
      <c r="B21" s="49"/>
      <c r="C21" s="154" t="s">
        <v>197</v>
      </c>
      <c r="D21" s="155">
        <f>D20+D8</f>
        <v>1.297852096</v>
      </c>
      <c r="E21" s="156" t="s">
        <v>187</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198</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199</v>
      </c>
      <c r="C24" s="160"/>
      <c r="D24" s="161">
        <f>max('Revenues 2021'!E2:E7,'Revenues 2021'!F10:F15)</f>
        <v>6000000</v>
      </c>
      <c r="E24" s="162" t="s">
        <v>200</v>
      </c>
      <c r="F24" s="43"/>
      <c r="G24" s="43"/>
      <c r="H24" s="43"/>
      <c r="I24" s="43"/>
      <c r="J24" s="43"/>
      <c r="K24" s="43"/>
      <c r="L24" s="43"/>
      <c r="M24" s="43"/>
      <c r="N24" s="43"/>
      <c r="O24" s="43"/>
      <c r="P24" s="43"/>
      <c r="Q24" s="43"/>
      <c r="R24" s="43"/>
      <c r="S24" s="43"/>
      <c r="T24" s="43"/>
      <c r="U24" s="43"/>
      <c r="V24" s="43"/>
      <c r="W24" s="43"/>
      <c r="X24" s="43"/>
      <c r="Y24" s="43"/>
    </row>
    <row r="25">
      <c r="A25" s="139"/>
      <c r="B25" s="49"/>
      <c r="C25" s="145" t="s">
        <v>201</v>
      </c>
      <c r="D25" s="146">
        <f>'Revenues 2021'!F44</f>
        <v>7180004</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198</v>
      </c>
      <c r="D26" s="163">
        <f>D24/D25</f>
        <v>0.8356541306</v>
      </c>
      <c r="E26" s="150" t="s">
        <v>202</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203</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204</v>
      </c>
      <c r="C29" s="145" t="s">
        <v>205</v>
      </c>
      <c r="D29" s="75">
        <f>SUM('Expenses 2021'!C7:C9)</f>
        <v>314506</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206</v>
      </c>
      <c r="D30" s="75">
        <f>SUM('Expenses 2021'!C10:C12)</f>
        <v>59812</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207</v>
      </c>
      <c r="D31" s="75">
        <f>sum(D29:D30)</f>
        <v>374318</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182</v>
      </c>
      <c r="D32" s="75">
        <f>'Expenses 2021'!C40</f>
        <v>7182040</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208</v>
      </c>
      <c r="D33" s="163">
        <f>D31/D32</f>
        <v>0.05211861811</v>
      </c>
      <c r="E33" s="150" t="s">
        <v>209</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210</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211</v>
      </c>
      <c r="C36" s="145" t="s">
        <v>212</v>
      </c>
      <c r="D36" s="75">
        <f>SUM('Expenses 2021'!C10:C11)</f>
        <v>40144</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205</v>
      </c>
      <c r="D37" s="75">
        <f>SUM('Expenses 2021'!C7:C9)</f>
        <v>314506</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210</v>
      </c>
      <c r="D38" s="163">
        <f>D36/D37</f>
        <v>0.127641444</v>
      </c>
      <c r="E38" s="150" t="s">
        <v>213</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214</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215</v>
      </c>
      <c r="C41" s="148" t="s">
        <v>216</v>
      </c>
      <c r="D41" s="75">
        <f>'Expenses 2021'!D40</f>
        <v>6964811</v>
      </c>
      <c r="E41" s="165">
        <f t="shared" ref="E41:E44" si="1">D41/$D$44</f>
        <v>0.9697538582</v>
      </c>
      <c r="F41" s="43"/>
      <c r="G41" s="43"/>
      <c r="H41" s="43"/>
      <c r="I41" s="43"/>
      <c r="J41" s="43"/>
      <c r="K41" s="43"/>
      <c r="L41" s="43"/>
      <c r="M41" s="43"/>
      <c r="N41" s="43"/>
      <c r="O41" s="43"/>
      <c r="P41" s="43"/>
      <c r="Q41" s="43"/>
      <c r="R41" s="43"/>
      <c r="S41" s="43"/>
      <c r="T41" s="43"/>
      <c r="U41" s="43"/>
      <c r="V41" s="43"/>
      <c r="W41" s="43"/>
      <c r="X41" s="43"/>
      <c r="Y41" s="43"/>
    </row>
    <row r="42">
      <c r="A42" s="139"/>
      <c r="B42" s="49"/>
      <c r="C42" s="148" t="s">
        <v>217</v>
      </c>
      <c r="D42" s="146">
        <f>'Expenses 2021'!E40</f>
        <v>132065</v>
      </c>
      <c r="E42" s="165">
        <f t="shared" si="1"/>
        <v>0.01838822953</v>
      </c>
      <c r="F42" s="43"/>
      <c r="G42" s="43"/>
      <c r="H42" s="43"/>
      <c r="I42" s="43"/>
      <c r="J42" s="43"/>
      <c r="K42" s="43"/>
      <c r="L42" s="43"/>
      <c r="M42" s="43"/>
      <c r="N42" s="43"/>
      <c r="O42" s="43"/>
      <c r="P42" s="43"/>
      <c r="Q42" s="43"/>
      <c r="R42" s="43"/>
      <c r="S42" s="43"/>
      <c r="T42" s="43"/>
      <c r="U42" s="43"/>
      <c r="V42" s="43"/>
      <c r="W42" s="43"/>
      <c r="X42" s="43"/>
      <c r="Y42" s="43"/>
    </row>
    <row r="43">
      <c r="A43" s="139"/>
      <c r="B43" s="49"/>
      <c r="C43" s="148" t="s">
        <v>218</v>
      </c>
      <c r="D43" s="146">
        <f>'Expenses 2021'!F40</f>
        <v>85164</v>
      </c>
      <c r="E43" s="165">
        <f t="shared" si="1"/>
        <v>0.01185791224</v>
      </c>
      <c r="F43" s="43"/>
      <c r="G43" s="43"/>
      <c r="H43" s="43"/>
      <c r="I43" s="43"/>
      <c r="J43" s="43"/>
      <c r="K43" s="43"/>
      <c r="L43" s="43"/>
      <c r="M43" s="43"/>
      <c r="N43" s="43"/>
      <c r="O43" s="43"/>
      <c r="P43" s="43"/>
      <c r="Q43" s="43"/>
      <c r="R43" s="43"/>
      <c r="S43" s="43"/>
      <c r="T43" s="43"/>
      <c r="U43" s="43"/>
      <c r="V43" s="43"/>
      <c r="W43" s="43"/>
      <c r="X43" s="43"/>
      <c r="Y43" s="43"/>
    </row>
    <row r="44">
      <c r="A44" s="139"/>
      <c r="B44" s="49"/>
      <c r="C44" s="145" t="s">
        <v>182</v>
      </c>
      <c r="D44" s="146">
        <f>sum(D41:D43)</f>
        <v>7182040</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219</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220</v>
      </c>
      <c r="C47" s="145" t="s">
        <v>221</v>
      </c>
      <c r="D47" s="146">
        <f>'Revenues 2021'!F9</f>
        <v>7166252</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222</v>
      </c>
      <c r="D48" s="146">
        <f>'Expenses 2021'!F40</f>
        <v>85164</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223</v>
      </c>
      <c r="D49" s="166">
        <f>D47/D48</f>
        <v>84.14649382</v>
      </c>
      <c r="E49" s="150" t="s">
        <v>224</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225</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226</v>
      </c>
      <c r="C52" s="145" t="s">
        <v>227</v>
      </c>
      <c r="D52" s="146">
        <f>sum('Balance Sheet 2021'!E2:E10)</f>
        <v>785059</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228</v>
      </c>
      <c r="D53" s="146">
        <f>sum('Balance Sheet 2021'!E19:E22)</f>
        <v>187878</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229</v>
      </c>
      <c r="D54" s="168">
        <f>D52/D53</f>
        <v>4.178557362</v>
      </c>
      <c r="E54" s="150" t="s">
        <v>230</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231</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232</v>
      </c>
      <c r="C57" s="145" t="s">
        <v>233</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234</v>
      </c>
      <c r="D58" s="146">
        <f>'Balance Sheet 2021'!E18</f>
        <v>803557</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235</v>
      </c>
      <c r="D59" s="169">
        <f>D57/D58</f>
        <v>0</v>
      </c>
      <c r="E59" s="150" t="s">
        <v>236</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CONSORTIUM OF FLORIDA EDUCATION FOUNDATIONS</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89500.0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7059753.0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1899503.0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9048756</v>
      </c>
      <c r="G9" s="58"/>
      <c r="H9" s="58"/>
      <c r="I9" s="58"/>
      <c r="J9" s="58"/>
      <c r="K9" s="58"/>
      <c r="L9" s="58"/>
      <c r="M9" s="58"/>
      <c r="N9" s="58"/>
      <c r="O9" s="58"/>
      <c r="P9" s="58"/>
      <c r="Q9" s="58"/>
      <c r="R9" s="58"/>
      <c r="S9" s="58"/>
      <c r="T9" s="58"/>
      <c r="U9" s="58"/>
      <c r="V9" s="58"/>
      <c r="W9" s="58"/>
      <c r="X9" s="58"/>
      <c r="Y9" s="58"/>
      <c r="Z9" s="58"/>
    </row>
    <row r="10">
      <c r="A10" s="44" t="s">
        <v>62</v>
      </c>
      <c r="B10" s="59" t="s">
        <v>63</v>
      </c>
      <c r="C10" s="60" t="s">
        <v>237</v>
      </c>
      <c r="D10" s="15"/>
      <c r="E10" s="15"/>
      <c r="F10" s="48">
        <v>9750.0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t="s">
        <v>238</v>
      </c>
      <c r="D11" s="61"/>
      <c r="E11" s="61"/>
      <c r="F11" s="62">
        <v>2216.0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11966</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6427.0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239</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9067149</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CONSORTIUM OF FLORIDA EDUCATION FOUNDATIONS</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8250962</v>
      </c>
      <c r="D3" s="99">
        <v>8250962.0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168040</v>
      </c>
      <c r="D7" s="99">
        <v>134432.0</v>
      </c>
      <c r="E7" s="99">
        <v>16804.0</v>
      </c>
      <c r="F7" s="99">
        <v>16804.0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108</v>
      </c>
      <c r="C9" s="98">
        <f t="shared" si="1"/>
        <v>208203</v>
      </c>
      <c r="D9" s="99">
        <v>166563.0</v>
      </c>
      <c r="E9" s="99">
        <v>20820.0</v>
      </c>
      <c r="F9" s="99">
        <v>20820.0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13615</v>
      </c>
      <c r="D10" s="99">
        <v>10893.0</v>
      </c>
      <c r="E10" s="99">
        <v>1361.0</v>
      </c>
      <c r="F10" s="99">
        <v>1361.0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26793</v>
      </c>
      <c r="D11" s="99">
        <v>21433.0</v>
      </c>
      <c r="E11" s="99">
        <v>2680.0</v>
      </c>
      <c r="F11" s="99">
        <v>2680.0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25884</v>
      </c>
      <c r="D12" s="99">
        <v>20708.0</v>
      </c>
      <c r="E12" s="99">
        <v>2588.0</v>
      </c>
      <c r="F12" s="99">
        <v>2588.0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22387</v>
      </c>
      <c r="D16" s="99">
        <v>0.0</v>
      </c>
      <c r="E16" s="99">
        <v>22387.0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76356</v>
      </c>
      <c r="D17" s="99">
        <v>0.0</v>
      </c>
      <c r="E17" s="99">
        <v>38178.0</v>
      </c>
      <c r="F17" s="99">
        <v>38178.0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43813</v>
      </c>
      <c r="D20" s="99">
        <v>24567.0</v>
      </c>
      <c r="E20" s="99">
        <v>19246.0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9953</v>
      </c>
      <c r="D21" s="99">
        <v>7962.0</v>
      </c>
      <c r="E21" s="99">
        <v>0.0</v>
      </c>
      <c r="F21" s="99">
        <v>1991.0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26245</v>
      </c>
      <c r="D22" s="99">
        <v>20997.0</v>
      </c>
      <c r="E22" s="99">
        <v>2774.0</v>
      </c>
      <c r="F22" s="99">
        <v>2474.0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33136</v>
      </c>
      <c r="D23" s="99">
        <v>33136.0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11600</v>
      </c>
      <c r="D25" s="99">
        <v>9280.0</v>
      </c>
      <c r="E25" s="99">
        <v>1160.0</v>
      </c>
      <c r="F25" s="99">
        <v>1160.0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21487</v>
      </c>
      <c r="D26" s="99">
        <v>21487.0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58995</v>
      </c>
      <c r="D28" s="99">
        <v>58995.0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5223</v>
      </c>
      <c r="D31" s="99">
        <v>4701.0</v>
      </c>
      <c r="E31" s="99">
        <v>522.0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4412</v>
      </c>
      <c r="D32" s="99">
        <v>0.0</v>
      </c>
      <c r="E32" s="99">
        <v>4412.0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102" t="s">
        <v>133</v>
      </c>
      <c r="C34" s="98">
        <f t="shared" si="1"/>
        <v>12933</v>
      </c>
      <c r="D34" s="99">
        <v>12286.0</v>
      </c>
      <c r="E34" s="99">
        <v>647.0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3" t="s">
        <v>240</v>
      </c>
      <c r="C35" s="98">
        <f t="shared" si="1"/>
        <v>3896</v>
      </c>
      <c r="D35" s="99">
        <v>3896.0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3" t="s">
        <v>134</v>
      </c>
      <c r="C36" s="98">
        <f t="shared" si="1"/>
        <v>3725</v>
      </c>
      <c r="D36" s="99">
        <v>2981.0</v>
      </c>
      <c r="E36" s="99">
        <v>372.0</v>
      </c>
      <c r="F36" s="99">
        <v>372.0</v>
      </c>
      <c r="G36" s="43"/>
      <c r="H36" s="43"/>
      <c r="I36" s="43"/>
      <c r="J36" s="43"/>
      <c r="K36" s="43"/>
      <c r="L36" s="43"/>
      <c r="M36" s="43"/>
      <c r="N36" s="43"/>
      <c r="O36" s="43"/>
      <c r="P36" s="43"/>
      <c r="Q36" s="43"/>
      <c r="R36" s="43"/>
      <c r="S36" s="43"/>
      <c r="T36" s="43"/>
      <c r="U36" s="43"/>
      <c r="V36" s="43"/>
      <c r="W36" s="43"/>
      <c r="X36" s="43"/>
      <c r="Y36" s="43"/>
      <c r="Z36" s="43"/>
    </row>
    <row r="37">
      <c r="A37" s="45" t="s">
        <v>52</v>
      </c>
      <c r="B37" s="103"/>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136</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137</v>
      </c>
      <c r="C40" s="104">
        <f t="shared" ref="C40:F40" si="2">sum(C3:C39)</f>
        <v>9027658</v>
      </c>
      <c r="D40" s="104">
        <f t="shared" si="2"/>
        <v>8805279</v>
      </c>
      <c r="E40" s="104">
        <f t="shared" si="2"/>
        <v>133951</v>
      </c>
      <c r="F40" s="104">
        <f t="shared" si="2"/>
        <v>88428</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CONSORTIUM OF FLORIDA EDUCATION FOUNDATIONS</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139</v>
      </c>
      <c r="B2" s="45">
        <v>1.0</v>
      </c>
      <c r="C2" s="46" t="s">
        <v>140</v>
      </c>
      <c r="D2" s="111"/>
      <c r="E2" s="112">
        <v>273385.0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3"/>
      <c r="E3" s="112">
        <v>473904.0</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3"/>
      <c r="E5" s="112">
        <v>640408.0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1"/>
      <c r="E10" s="112">
        <v>46295.0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2">
        <v>63081.0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2">
        <v>43666.0</v>
      </c>
      <c r="E12" s="109">
        <f>D11-D12</f>
        <v>19415</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4"/>
      <c r="E18" s="115">
        <f>sum(E2:E17)</f>
        <v>1453407</v>
      </c>
      <c r="F18" s="43"/>
      <c r="G18" s="43"/>
      <c r="H18" s="43"/>
      <c r="I18" s="43"/>
      <c r="J18" s="43"/>
      <c r="K18" s="43"/>
      <c r="L18" s="43"/>
      <c r="M18" s="43"/>
      <c r="N18" s="43"/>
      <c r="O18" s="43"/>
      <c r="P18" s="43"/>
      <c r="Q18" s="43"/>
      <c r="R18" s="43"/>
      <c r="S18" s="43"/>
      <c r="T18" s="43"/>
      <c r="U18" s="43"/>
      <c r="V18" s="43"/>
      <c r="W18" s="43"/>
      <c r="X18" s="43"/>
      <c r="Y18" s="43"/>
      <c r="Z18" s="43"/>
    </row>
    <row r="19">
      <c r="A19" s="44" t="s">
        <v>159</v>
      </c>
      <c r="B19" s="116">
        <v>17.0</v>
      </c>
      <c r="C19" s="117" t="s">
        <v>160</v>
      </c>
      <c r="D19" s="118"/>
      <c r="E19" s="112">
        <v>537614.0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161</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162</v>
      </c>
      <c r="D21" s="118"/>
      <c r="E21" s="112">
        <v>260623.0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163</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164</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165</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166</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167</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168</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169</v>
      </c>
      <c r="D28" s="126"/>
      <c r="E28" s="127">
        <f>sum(E19:E27)</f>
        <v>798237</v>
      </c>
      <c r="F28" s="43"/>
      <c r="G28" s="43"/>
      <c r="H28" s="43"/>
      <c r="I28" s="43"/>
      <c r="J28" s="43"/>
      <c r="K28" s="43"/>
      <c r="L28" s="43"/>
      <c r="M28" s="43"/>
      <c r="N28" s="43"/>
      <c r="O28" s="43"/>
      <c r="P28" s="43"/>
      <c r="Q28" s="43"/>
      <c r="R28" s="43"/>
      <c r="S28" s="43"/>
      <c r="T28" s="43"/>
      <c r="U28" s="43"/>
      <c r="V28" s="43"/>
      <c r="W28" s="43"/>
      <c r="X28" s="43"/>
      <c r="Y28" s="43"/>
      <c r="Z28" s="43"/>
    </row>
    <row r="29">
      <c r="A29" s="65" t="s">
        <v>170</v>
      </c>
      <c r="B29" s="128"/>
      <c r="C29" s="129" t="s">
        <v>171</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172</v>
      </c>
      <c r="D30" s="118"/>
      <c r="E30" s="112">
        <v>655170.0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173</v>
      </c>
      <c r="D31" s="118"/>
      <c r="E31" s="112">
        <v>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174</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175</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176</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177</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178</v>
      </c>
      <c r="D36" s="132"/>
      <c r="E36" s="127">
        <f>sum(E30:E35)</f>
        <v>655170</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179</v>
      </c>
      <c r="D37" s="136"/>
      <c r="E37" s="137">
        <f>E36+E28</f>
        <v>1453407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