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<sst xmlns="http://schemas.openxmlformats.org/spreadsheetml/2006/main" count="868" uniqueCount="250">
  <si>
    <t>PUGET SOUND SAGE</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</si>
  <si>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</si>
  <si>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</si>
  <si>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</si>
  <si>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</si>
  <si>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</si>
  <si>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</si>
  <si>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</si>
  <si>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</si>
  <si>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</si>
  <si>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</si>
  <si>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</si>
  <si>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</si>
  <si>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</si>
  <si>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</si>
  <si>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</si>
  <si>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</si>
  <si>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</si>
  <si>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</si>
  <si>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</si>
  <si>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</si>
  <si>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</si>
  <si>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</si>
  <si>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</si>
  <si>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</si>
  <si>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</si>
  <si>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</si>
  <si>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</si>
  <si>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</si>
  <si>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</si>
  <si>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</si>
  <si>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</si>
  <si>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</si>
  <si>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</si>
  <si>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</si>
  <si>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</si>
  <si>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</si>
  <si>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</si>
  <si>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</si>
  <si>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</si>
  <si>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</si>
  <si>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</si>
  <si>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</si>
  <si>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</si>
  <si>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</si>
  <si>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</si>
  <si>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</si>
  <si>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</si>
  <si>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</si>
  <si>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</si>
  <si>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</si>
  <si>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</si>
  <si>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</si>
  <si>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</si>
  <si>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</si>
  <si>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</si>
  <si>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</si>
  <si>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</si>
  <si>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</si>
  <si>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</si>
  <si>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</si>
  <si>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</si>
  <si>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</si>
  <si>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</si>
  <si>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</si>
  <si>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</si>
  <si>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</si>
  <si>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</si>
  <si>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</si>
  <si>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</si>
  <si>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</si>
  <si>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</si>
  <si>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</si>
  <si>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</si>
  <si>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</si>
  <si>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</si>
  <si>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</si>
  <si>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</si>
  <si>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</si>
  <si>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</si>
  <si>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</si>
  <si>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</si>
  <si>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</si>
  <si>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</si>
  <si>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</si>
  <si>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</si>
  <si>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</si>
  <si>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</si>
  <si>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</si>
  <si>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</si>
  <si>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</si>
  <si>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</si>
  <si>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</si>
  <si>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</si>
  <si>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</si>
  <si>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</si>
  <si>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MISCELLANEOUS INCOME</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</si>
  <si>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</si>
  <si>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</si>
  <si>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</si>
  <si>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</si>
  <si>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</si>
  <si>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</si>
  <si>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</si>
  <si>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</si>
  <si>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</si>
  <si>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</si>
  <si>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</si>
  <si>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</si>
  <si>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</si>
  <si>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</si>
  <si>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</si>
  <si>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</si>
  <si>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</si>
  <si>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</si>
  <si>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</si>
  <si>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</si>
  <si>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</si>
  <si>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</si>
  <si>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</si>
  <si>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</si>
  <si>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</si>
  <si>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</si>
  <si>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</si>
  <si>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</si>
  <si>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</si>
  <si>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</si>
  <si>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</si>
  <si>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</si>
  <si>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</si>
  <si>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</si>
  <si>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</si>
  <si>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</si>
  <si>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</si>
  <si>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 xml:space="preserve"> PARTICIPANT STIPENDS</t>
  </si>
  <si>
    <t>BANK SERVICE CHARGES</t>
  </si>
  <si>
    <t>REPAIR AND MAINTENANCE</t>
  </si>
  <si>
    <t>EVENT SUPPLIES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</si>
  <si>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</si>
  <si>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</si>
  <si>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</si>
  <si>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</si>
  <si>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</si>
  <si>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</si>
  <si>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</si>
  <si>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</si>
  <si>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</si>
  <si>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</si>
  <si>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</si>
  <si>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</si>
  <si>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</si>
  <si>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</si>
  <si>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</si>
  <si>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</si>
  <si>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</si>
  <si>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</si>
  <si>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</si>
  <si>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</si>
  <si>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</si>
  <si>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</si>
  <si>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</si>
  <si>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</si>
  <si>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</si>
  <si>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</si>
  <si>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</si>
  <si>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</si>
  <si>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</si>
  <si>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</si>
  <si>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</si>
  <si>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</si>
  <si>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</si>
  <si>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</si>
  <si>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</si>
  <si>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</si>
  <si>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</si>
  <si>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</si>
  <si>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</si>
  <si>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</si>
  <si>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</si>
  <si>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</si>
  <si>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</si>
  <si>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</si>
  <si>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</si>
  <si>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</si>
  <si>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</si>
  <si>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</si>
  <si>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</si>
  <si>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</si>
  <si>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</si>
  <si>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</si>
  <si>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</si>
  <si>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</si>
  <si>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</si>
  <si>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</si>
  <si>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</si>
  <si>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</si>
  <si>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</si>
  <si>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</si>
  <si>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</si>
  <si>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</si>
  <si>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</si>
  <si>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</si>
  <si>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</si>
  <si>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</si>
  <si>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</si>
  <si>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</si>
  <si>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</si>
  <si>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</si>
  <si>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</si>
  <si>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</si>
  <si>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</si>
  <si>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</si>
  <si>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</si>
  <si>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</si>
  <si>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</si>
  <si>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</si>
  <si>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</si>
  <si>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</si>
  <si>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</si>
  <si>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</si>
  <si>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</si>
  <si>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</si>
  <si>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</si>
  <si>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</si>
  <si>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</si>
  <si>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</si>
  <si>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</si>
  <si>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</si>
  <si>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</si>
  <si>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</si>
  <si>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</si>
  <si>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</si>
  <si>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</si>
  <si>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</si>
  <si>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</si>
  <si>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</si>
  <si>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</si>
  <si>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</si>
  <si>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</si>
  <si>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VOLUNTEER &amp; EMPLOYEE EXP</t>
  </si>
  <si>
    <t>TELEPHONE</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</si>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</sst>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PUGET SOUND SAGE</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181</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182</v>
      </c>
      <c r="C3" s="144" t="s">
        <v>183</v>
      </c>
      <c r="D3" s="145">
        <f>'Expenses 2023'!C40</f>
        <v>1472009</v>
      </c>
      <c r="E3" s="146"/>
      <c r="F3" s="43"/>
      <c r="G3" s="43"/>
      <c r="H3" s="43"/>
      <c r="I3" s="43"/>
      <c r="J3" s="43"/>
      <c r="K3" s="43"/>
      <c r="L3" s="43"/>
      <c r="M3" s="43"/>
      <c r="N3" s="43"/>
      <c r="O3" s="43"/>
      <c r="P3" s="43"/>
      <c r="Q3" s="43"/>
      <c r="R3" s="43"/>
      <c r="S3" s="43"/>
      <c r="T3" s="43"/>
      <c r="U3" s="43"/>
      <c r="V3" s="43"/>
      <c r="W3" s="43"/>
      <c r="X3" s="43"/>
      <c r="Y3" s="43"/>
    </row>
    <row r="4">
      <c r="A4" s="138"/>
      <c r="B4" s="49"/>
      <c r="C4" s="144" t="s">
        <v>184</v>
      </c>
      <c r="D4" s="145">
        <f>'Expenses 2023'!C31</f>
        <v>6188</v>
      </c>
      <c r="E4" s="146"/>
      <c r="F4" s="43"/>
      <c r="G4" s="43"/>
      <c r="H4" s="43"/>
      <c r="I4" s="43"/>
      <c r="J4" s="43"/>
      <c r="K4" s="43"/>
      <c r="L4" s="43"/>
      <c r="M4" s="43"/>
      <c r="N4" s="43"/>
      <c r="O4" s="43"/>
      <c r="P4" s="43"/>
      <c r="Q4" s="43"/>
      <c r="R4" s="43"/>
      <c r="S4" s="43"/>
      <c r="T4" s="43"/>
      <c r="U4" s="43"/>
      <c r="V4" s="43"/>
      <c r="W4" s="43"/>
      <c r="X4" s="43"/>
      <c r="Y4" s="43"/>
    </row>
    <row r="5">
      <c r="A5" s="138"/>
      <c r="B5" s="49"/>
      <c r="C5" s="144" t="s">
        <v>185</v>
      </c>
      <c r="D5" s="145">
        <f>D3-D4</f>
        <v>1465821</v>
      </c>
      <c r="E5" s="146"/>
      <c r="F5" s="43"/>
      <c r="G5" s="43"/>
      <c r="H5" s="43"/>
      <c r="I5" s="43"/>
      <c r="J5" s="43"/>
      <c r="K5" s="43"/>
      <c r="L5" s="43"/>
      <c r="M5" s="43"/>
      <c r="N5" s="43"/>
      <c r="O5" s="43"/>
      <c r="P5" s="43"/>
      <c r="Q5" s="43"/>
      <c r="R5" s="43"/>
      <c r="S5" s="43"/>
      <c r="T5" s="43"/>
      <c r="U5" s="43"/>
      <c r="V5" s="43"/>
      <c r="W5" s="43"/>
      <c r="X5" s="43"/>
      <c r="Y5" s="43"/>
    </row>
    <row r="6">
      <c r="A6" s="138"/>
      <c r="B6" s="49"/>
      <c r="C6" s="144" t="s">
        <v>186</v>
      </c>
      <c r="D6" s="145">
        <f>D5/12</f>
        <v>122151.75</v>
      </c>
      <c r="E6" s="146"/>
      <c r="F6" s="43"/>
      <c r="G6" s="43"/>
      <c r="H6" s="43"/>
      <c r="I6" s="43"/>
      <c r="J6" s="43"/>
      <c r="K6" s="43"/>
      <c r="L6" s="43"/>
      <c r="M6" s="43"/>
      <c r="N6" s="43"/>
      <c r="O6" s="43"/>
      <c r="P6" s="43"/>
      <c r="Q6" s="43"/>
      <c r="R6" s="43"/>
      <c r="S6" s="43"/>
      <c r="T6" s="43"/>
      <c r="U6" s="43"/>
      <c r="V6" s="43"/>
      <c r="W6" s="43"/>
      <c r="X6" s="43"/>
      <c r="Y6" s="43"/>
    </row>
    <row r="7">
      <c r="A7" s="138"/>
      <c r="B7" s="49"/>
      <c r="C7" s="144" t="s">
        <v>187</v>
      </c>
      <c r="D7" s="75">
        <f>'Balance Sheet 2023'!E2+'Balance Sheet 2023'!E3</f>
        <v>981820</v>
      </c>
      <c r="E7" s="146"/>
      <c r="F7" s="43"/>
      <c r="G7" s="43"/>
      <c r="H7" s="43"/>
      <c r="I7" s="43"/>
      <c r="J7" s="43"/>
      <c r="K7" s="43"/>
      <c r="L7" s="43"/>
      <c r="M7" s="43"/>
      <c r="N7" s="43"/>
      <c r="O7" s="43"/>
      <c r="P7" s="43"/>
      <c r="Q7" s="43"/>
      <c r="R7" s="43"/>
      <c r="S7" s="43"/>
      <c r="T7" s="43"/>
      <c r="U7" s="43"/>
      <c r="V7" s="43"/>
      <c r="W7" s="43"/>
      <c r="X7" s="43"/>
      <c r="Y7" s="43"/>
    </row>
    <row r="8">
      <c r="A8" s="138"/>
      <c r="B8" s="49"/>
      <c r="C8" s="147" t="s">
        <v>181</v>
      </c>
      <c r="D8" s="148">
        <f>D7/D6</f>
        <v>8.037707196</v>
      </c>
      <c r="E8" s="149" t="s">
        <v>188</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189</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190</v>
      </c>
      <c r="C11" s="144" t="s">
        <v>191</v>
      </c>
      <c r="D11" s="75">
        <f>'Balance Sheet 2023'!E30</f>
        <v>977492</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192</v>
      </c>
      <c r="D12" s="75">
        <f>'Expenses 2023'!C40</f>
        <v>1472009</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193</v>
      </c>
      <c r="D13" s="145">
        <f>D12/12</f>
        <v>122667.4167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189</v>
      </c>
      <c r="D14" s="148">
        <f>D11/D13</f>
        <v>7.968636061</v>
      </c>
      <c r="E14" s="149" t="s">
        <v>188</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194</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195</v>
      </c>
      <c r="C17" s="144" t="s">
        <v>196</v>
      </c>
      <c r="D17" s="75">
        <f>sum('Balance Sheet 2023'!E13:E15)</f>
        <v>417687</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192</v>
      </c>
      <c r="D18" s="75">
        <f>'Expenses 2023'!C40</f>
        <v>1472009</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193</v>
      </c>
      <c r="D19" s="145">
        <f>D18/12</f>
        <v>122667.4167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197</v>
      </c>
      <c r="D20" s="148">
        <f>D17/D19</f>
        <v>3.405036246</v>
      </c>
      <c r="E20" s="149" t="s">
        <v>188</v>
      </c>
      <c r="F20" s="43"/>
      <c r="G20" s="43"/>
      <c r="H20" s="43"/>
      <c r="I20" s="43"/>
      <c r="J20" s="43"/>
      <c r="K20" s="43"/>
      <c r="L20" s="43"/>
      <c r="M20" s="43"/>
      <c r="N20" s="43"/>
      <c r="O20" s="43"/>
      <c r="P20" s="43"/>
      <c r="Q20" s="43"/>
      <c r="R20" s="43"/>
      <c r="S20" s="43"/>
      <c r="T20" s="43"/>
      <c r="U20" s="43"/>
      <c r="V20" s="43"/>
      <c r="W20" s="43"/>
      <c r="X20" s="43"/>
      <c r="Y20" s="43"/>
    </row>
    <row r="21">
      <c r="A21" s="138"/>
      <c r="B21" s="49"/>
      <c r="C21" s="153" t="s">
        <v>198</v>
      </c>
      <c r="D21" s="154">
        <f>D20+D8</f>
        <v>11.44274344</v>
      </c>
      <c r="E21" s="155" t="s">
        <v>188</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199</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200</v>
      </c>
      <c r="C24" s="159"/>
      <c r="D24" s="160">
        <f>max('Revenues 2023'!E2:E7,'Revenues 2023'!F10:F15)</f>
        <v>847169</v>
      </c>
      <c r="E24" s="161" t="s">
        <v>201</v>
      </c>
      <c r="F24" s="43"/>
      <c r="G24" s="43"/>
      <c r="H24" s="43"/>
      <c r="I24" s="43"/>
      <c r="J24" s="43"/>
      <c r="K24" s="43"/>
      <c r="L24" s="43"/>
      <c r="M24" s="43"/>
      <c r="N24" s="43"/>
      <c r="O24" s="43"/>
      <c r="P24" s="43"/>
      <c r="Q24" s="43"/>
      <c r="R24" s="43"/>
      <c r="S24" s="43"/>
      <c r="T24" s="43"/>
      <c r="U24" s="43"/>
      <c r="V24" s="43"/>
      <c r="W24" s="43"/>
      <c r="X24" s="43"/>
      <c r="Y24" s="43"/>
    </row>
    <row r="25">
      <c r="A25" s="138"/>
      <c r="B25" s="49"/>
      <c r="C25" s="144" t="s">
        <v>202</v>
      </c>
      <c r="D25" s="145">
        <f>'Revenues 2023'!F44</f>
        <v>979681</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199</v>
      </c>
      <c r="D26" s="162">
        <f>D24/D25</f>
        <v>0.8647396448</v>
      </c>
      <c r="E26" s="149" t="s">
        <v>203</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204</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205</v>
      </c>
      <c r="C29" s="144" t="s">
        <v>206</v>
      </c>
      <c r="D29" s="75">
        <f>SUM('Expenses 2023'!C7:C9)</f>
        <v>794485</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207</v>
      </c>
      <c r="D30" s="75">
        <f>SUM('Expenses 2023'!C10:C12)</f>
        <v>201382</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208</v>
      </c>
      <c r="D31" s="75">
        <f>sum(D29:D30)</f>
        <v>995867</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183</v>
      </c>
      <c r="D32" s="75">
        <f>'Expenses 2023'!C40</f>
        <v>1472009</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209</v>
      </c>
      <c r="D33" s="162">
        <f>D31/D32</f>
        <v>0.6765359451</v>
      </c>
      <c r="E33" s="149" t="s">
        <v>210</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211</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212</v>
      </c>
      <c r="C36" s="144" t="s">
        <v>213</v>
      </c>
      <c r="D36" s="75">
        <f>SUM('Expenses 2023'!C10:C11)</f>
        <v>134156</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206</v>
      </c>
      <c r="D37" s="75">
        <f>SUM('Expenses 2023'!C7:C9)</f>
        <v>794485</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211</v>
      </c>
      <c r="D38" s="162">
        <f>D36/D37</f>
        <v>0.1688590722</v>
      </c>
      <c r="E38" s="149" t="s">
        <v>214</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215</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216</v>
      </c>
      <c r="C41" s="147" t="s">
        <v>241</v>
      </c>
      <c r="D41" s="75">
        <f>'Expenses 2023'!D40</f>
        <v>989659</v>
      </c>
      <c r="E41" s="164">
        <f t="shared" ref="E41:E44" si="1">D41/$D$44</f>
        <v>0.6723185796</v>
      </c>
      <c r="F41" s="43"/>
      <c r="G41" s="43"/>
      <c r="H41" s="43"/>
      <c r="I41" s="43"/>
      <c r="J41" s="43"/>
      <c r="K41" s="43"/>
      <c r="L41" s="43"/>
      <c r="M41" s="43"/>
      <c r="N41" s="43"/>
      <c r="O41" s="43"/>
      <c r="P41" s="43"/>
      <c r="Q41" s="43"/>
      <c r="R41" s="43"/>
      <c r="S41" s="43"/>
      <c r="T41" s="43"/>
      <c r="U41" s="43"/>
      <c r="V41" s="43"/>
      <c r="W41" s="43"/>
      <c r="X41" s="43"/>
      <c r="Y41" s="43"/>
    </row>
    <row r="42">
      <c r="A42" s="138"/>
      <c r="B42" s="49"/>
      <c r="C42" s="147" t="s">
        <v>218</v>
      </c>
      <c r="D42" s="145">
        <f>'Expenses 2023'!E40</f>
        <v>313691</v>
      </c>
      <c r="E42" s="164">
        <f t="shared" si="1"/>
        <v>0.213103996</v>
      </c>
      <c r="F42" s="43"/>
      <c r="G42" s="43"/>
      <c r="H42" s="43"/>
      <c r="I42" s="43"/>
      <c r="J42" s="43"/>
      <c r="K42" s="43"/>
      <c r="L42" s="43"/>
      <c r="M42" s="43"/>
      <c r="N42" s="43"/>
      <c r="O42" s="43"/>
      <c r="P42" s="43"/>
      <c r="Q42" s="43"/>
      <c r="R42" s="43"/>
      <c r="S42" s="43"/>
      <c r="T42" s="43"/>
      <c r="U42" s="43"/>
      <c r="V42" s="43"/>
      <c r="W42" s="43"/>
      <c r="X42" s="43"/>
      <c r="Y42" s="43"/>
    </row>
    <row r="43">
      <c r="A43" s="138"/>
      <c r="B43" s="49"/>
      <c r="C43" s="147" t="s">
        <v>219</v>
      </c>
      <c r="D43" s="145">
        <f>'Expenses 2023'!F40</f>
        <v>168659</v>
      </c>
      <c r="E43" s="164">
        <f t="shared" si="1"/>
        <v>0.1145774245</v>
      </c>
      <c r="F43" s="43"/>
      <c r="G43" s="43"/>
      <c r="H43" s="43"/>
      <c r="I43" s="43"/>
      <c r="J43" s="43"/>
      <c r="K43" s="43"/>
      <c r="L43" s="43"/>
      <c r="M43" s="43"/>
      <c r="N43" s="43"/>
      <c r="O43" s="43"/>
      <c r="P43" s="43"/>
      <c r="Q43" s="43"/>
      <c r="R43" s="43"/>
      <c r="S43" s="43"/>
      <c r="T43" s="43"/>
      <c r="U43" s="43"/>
      <c r="V43" s="43"/>
      <c r="W43" s="43"/>
      <c r="X43" s="43"/>
      <c r="Y43" s="43"/>
    </row>
    <row r="44">
      <c r="A44" s="138"/>
      <c r="B44" s="49"/>
      <c r="C44" s="144" t="s">
        <v>183</v>
      </c>
      <c r="D44" s="145">
        <f>sum(D41:D43)</f>
        <v>1472009</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220</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221</v>
      </c>
      <c r="C47" s="144" t="s">
        <v>222</v>
      </c>
      <c r="D47" s="145">
        <f>'Revenues 2023'!F9</f>
        <v>922169</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223</v>
      </c>
      <c r="D48" s="145">
        <f>'Expenses 2023'!F40</f>
        <v>168659</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224</v>
      </c>
      <c r="D49" s="165">
        <f>if(D48=0, "$0",D47/D48)</f>
        <v>5.467653668</v>
      </c>
      <c r="E49" s="149" t="s">
        <v>225</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226</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227</v>
      </c>
      <c r="C52" s="144" t="s">
        <v>228</v>
      </c>
      <c r="D52" s="145">
        <f>sum('Balance Sheet 2023'!E2:E10)</f>
        <v>1475815</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229</v>
      </c>
      <c r="D53" s="145">
        <f>sum('Balance Sheet 2023'!E19:E22)</f>
        <v>212031</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230</v>
      </c>
      <c r="D54" s="167">
        <f>D52/D53</f>
        <v>6.960373719</v>
      </c>
      <c r="E54" s="149" t="s">
        <v>231</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232</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233</v>
      </c>
      <c r="C57" s="144" t="s">
        <v>234</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235</v>
      </c>
      <c r="D58" s="145">
        <f>'Balance Sheet 2023'!E18</f>
        <v>1952550</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236</v>
      </c>
      <c r="D59" s="168">
        <f>D57/D58</f>
        <v>0</v>
      </c>
      <c r="E59" s="149" t="s">
        <v>237</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PUGET SOUND SAGE</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168774.0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1127266.0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1296040</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30590.0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242</v>
      </c>
      <c r="D26" s="50">
        <v>0.0</v>
      </c>
      <c r="E26" s="50">
        <v>450.0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521.0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-71</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-71</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1326559</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PUGET SOUND SAGE</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151511</v>
      </c>
      <c r="D3" s="99">
        <v>151511.0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131870</v>
      </c>
      <c r="D7" s="99">
        <v>88240.0</v>
      </c>
      <c r="E7" s="99">
        <v>26924.0</v>
      </c>
      <c r="F7" s="99">
        <v>16706.0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452264</v>
      </c>
      <c r="D9" s="99">
        <v>290625.0</v>
      </c>
      <c r="E9" s="99">
        <v>99272.0</v>
      </c>
      <c r="F9" s="99">
        <v>62367.0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81091</v>
      </c>
      <c r="D10" s="99">
        <v>67638.0</v>
      </c>
      <c r="E10" s="99">
        <v>8725.0</v>
      </c>
      <c r="F10" s="99">
        <v>4728.0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158322</v>
      </c>
      <c r="D11" s="99">
        <v>132057.0</v>
      </c>
      <c r="E11" s="99">
        <v>17035.0</v>
      </c>
      <c r="F11" s="99">
        <v>9230.0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120344</v>
      </c>
      <c r="D12" s="99">
        <v>94860.0</v>
      </c>
      <c r="E12" s="99">
        <v>18795.0</v>
      </c>
      <c r="F12" s="99">
        <v>6689.0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1428</v>
      </c>
      <c r="D15" s="99">
        <v>0.0</v>
      </c>
      <c r="E15" s="99">
        <v>1428.0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34195</v>
      </c>
      <c r="D16" s="99">
        <v>0.0</v>
      </c>
      <c r="E16" s="99">
        <v>34195.0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9552</v>
      </c>
      <c r="D18" s="99">
        <v>0.0</v>
      </c>
      <c r="E18" s="99">
        <v>0.0</v>
      </c>
      <c r="F18" s="99">
        <v>9552.0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55006</v>
      </c>
      <c r="D20" s="99">
        <v>53235.0</v>
      </c>
      <c r="E20" s="99">
        <v>793.0</v>
      </c>
      <c r="F20" s="99">
        <v>978.0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8153</v>
      </c>
      <c r="D22" s="99">
        <v>4436.0</v>
      </c>
      <c r="E22" s="99">
        <v>3568.0</v>
      </c>
      <c r="F22" s="99">
        <v>149.0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41547</v>
      </c>
      <c r="D23" s="99">
        <v>19388.0</v>
      </c>
      <c r="E23" s="99">
        <v>6521.0</v>
      </c>
      <c r="F23" s="99">
        <v>15638.0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28096</v>
      </c>
      <c r="D25" s="99">
        <v>18288.0</v>
      </c>
      <c r="E25" s="99">
        <v>6425.0</v>
      </c>
      <c r="F25" s="99">
        <v>3383.0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16817</v>
      </c>
      <c r="D26" s="99">
        <v>15918.0</v>
      </c>
      <c r="E26" s="99">
        <v>595.0</v>
      </c>
      <c r="F26" s="99">
        <v>304.0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4469</v>
      </c>
      <c r="D28" s="99">
        <v>2407.0</v>
      </c>
      <c r="E28" s="99">
        <v>363.0</v>
      </c>
      <c r="F28" s="99">
        <v>1699.0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5253</v>
      </c>
      <c r="D31" s="99">
        <v>0.0</v>
      </c>
      <c r="E31" s="99">
        <v>5253.0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3598</v>
      </c>
      <c r="D32" s="99">
        <v>0.0</v>
      </c>
      <c r="E32" s="99">
        <v>3598.0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11540</v>
      </c>
      <c r="D34" s="99">
        <v>11540.0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135</v>
      </c>
      <c r="C35" s="98">
        <f t="shared" si="1"/>
        <v>8498</v>
      </c>
      <c r="D35" s="99">
        <v>1040.0</v>
      </c>
      <c r="E35" s="99">
        <v>6359.0</v>
      </c>
      <c r="F35" s="99">
        <v>1099.0</v>
      </c>
      <c r="G35" s="43"/>
      <c r="H35" s="43"/>
      <c r="I35" s="43"/>
      <c r="J35" s="43"/>
      <c r="K35" s="43"/>
      <c r="L35" s="43"/>
      <c r="M35" s="43"/>
      <c r="N35" s="43"/>
      <c r="O35" s="43"/>
      <c r="P35" s="43"/>
      <c r="Q35" s="43"/>
      <c r="R35" s="43"/>
      <c r="S35" s="43"/>
      <c r="T35" s="43"/>
      <c r="U35" s="43"/>
      <c r="V35" s="43"/>
      <c r="W35" s="43"/>
      <c r="X35" s="43"/>
      <c r="Y35" s="43"/>
      <c r="Z35" s="43"/>
    </row>
    <row r="36">
      <c r="A36" s="45" t="s">
        <v>50</v>
      </c>
      <c r="B36" s="102" t="s">
        <v>136</v>
      </c>
      <c r="C36" s="98">
        <f t="shared" si="1"/>
        <v>3484</v>
      </c>
      <c r="D36" s="99">
        <v>1940.0</v>
      </c>
      <c r="E36" s="99">
        <v>1194.0</v>
      </c>
      <c r="F36" s="99">
        <v>350.0</v>
      </c>
      <c r="G36" s="43"/>
      <c r="H36" s="43"/>
      <c r="I36" s="43"/>
      <c r="J36" s="43"/>
      <c r="K36" s="43"/>
      <c r="L36" s="43"/>
      <c r="M36" s="43"/>
      <c r="N36" s="43"/>
      <c r="O36" s="43"/>
      <c r="P36" s="43"/>
      <c r="Q36" s="43"/>
      <c r="R36" s="43"/>
      <c r="S36" s="43"/>
      <c r="T36" s="43"/>
      <c r="U36" s="43"/>
      <c r="V36" s="43"/>
      <c r="W36" s="43"/>
      <c r="X36" s="43"/>
      <c r="Y36" s="43"/>
      <c r="Z36" s="43"/>
    </row>
    <row r="37">
      <c r="A37" s="45" t="s">
        <v>52</v>
      </c>
      <c r="B37" s="102" t="s">
        <v>239</v>
      </c>
      <c r="C37" s="98">
        <f t="shared" si="1"/>
        <v>2849</v>
      </c>
      <c r="D37" s="99">
        <v>2726.0</v>
      </c>
      <c r="E37" s="99">
        <v>123.0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3829</v>
      </c>
      <c r="D38" s="99">
        <v>2616.0</v>
      </c>
      <c r="E38" s="99">
        <v>905.0</v>
      </c>
      <c r="F38" s="99">
        <v>308.0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3">
        <f t="shared" ref="C40:F40" si="2">sum(C3:C39)</f>
        <v>1333716</v>
      </c>
      <c r="D40" s="103">
        <f t="shared" si="2"/>
        <v>958465</v>
      </c>
      <c r="E40" s="103">
        <f t="shared" si="2"/>
        <v>242071</v>
      </c>
      <c r="F40" s="103">
        <f t="shared" si="2"/>
        <v>133180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PUGET SOUND SAGE</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140</v>
      </c>
      <c r="B2" s="45">
        <v>1.0</v>
      </c>
      <c r="C2" s="46" t="s">
        <v>141</v>
      </c>
      <c r="D2" s="110"/>
      <c r="E2" s="111">
        <v>0.0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2"/>
      <c r="E3" s="111">
        <v>1103142.0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0"/>
      <c r="E4" s="111">
        <v>292909.0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2"/>
      <c r="E5" s="111">
        <v>105507.0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0"/>
      <c r="E10" s="111">
        <v>25618.0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1">
        <v>32201.0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1">
        <v>27523.0</v>
      </c>
      <c r="E12" s="108">
        <f>D11-D12</f>
        <v>4678</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2"/>
      <c r="E13" s="111">
        <v>375940.0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2"/>
      <c r="E17" s="111">
        <v>246980.0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3"/>
      <c r="E18" s="114">
        <f>sum(E2:E17)</f>
        <v>2154774</v>
      </c>
      <c r="F18" s="43"/>
      <c r="G18" s="43"/>
      <c r="H18" s="43"/>
      <c r="I18" s="43"/>
      <c r="J18" s="43"/>
      <c r="K18" s="43"/>
      <c r="L18" s="43"/>
      <c r="M18" s="43"/>
      <c r="N18" s="43"/>
      <c r="O18" s="43"/>
      <c r="P18" s="43"/>
      <c r="Q18" s="43"/>
      <c r="R18" s="43"/>
      <c r="S18" s="43"/>
      <c r="T18" s="43"/>
      <c r="U18" s="43"/>
      <c r="V18" s="43"/>
      <c r="W18" s="43"/>
      <c r="X18" s="43"/>
      <c r="Y18" s="43"/>
      <c r="Z18" s="43"/>
    </row>
    <row r="19">
      <c r="A19" s="44" t="s">
        <v>160</v>
      </c>
      <c r="B19" s="115">
        <v>17.0</v>
      </c>
      <c r="C19" s="116" t="s">
        <v>161</v>
      </c>
      <c r="D19" s="117"/>
      <c r="E19" s="111">
        <v>242659.0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162</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163</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164</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165</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166</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167</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168</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169</v>
      </c>
      <c r="D27" s="117"/>
      <c r="E27" s="118">
        <v>191151.0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170</v>
      </c>
      <c r="D28" s="125"/>
      <c r="E28" s="126">
        <f>sum(E19:E27)</f>
        <v>433810</v>
      </c>
      <c r="F28" s="43"/>
      <c r="G28" s="43"/>
      <c r="H28" s="43"/>
      <c r="I28" s="43"/>
      <c r="J28" s="43"/>
      <c r="K28" s="43"/>
      <c r="L28" s="43"/>
      <c r="M28" s="43"/>
      <c r="N28" s="43"/>
      <c r="O28" s="43"/>
      <c r="P28" s="43"/>
      <c r="Q28" s="43"/>
      <c r="R28" s="43"/>
      <c r="S28" s="43"/>
      <c r="T28" s="43"/>
      <c r="U28" s="43"/>
      <c r="V28" s="43"/>
      <c r="W28" s="43"/>
      <c r="X28" s="43"/>
      <c r="Y28" s="43"/>
      <c r="Z28" s="43"/>
    </row>
    <row r="29">
      <c r="A29" s="65" t="s">
        <v>171</v>
      </c>
      <c r="B29" s="127"/>
      <c r="C29" s="128" t="s">
        <v>172</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173</v>
      </c>
      <c r="D30" s="117"/>
      <c r="E30" s="111">
        <v>1079820.0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174</v>
      </c>
      <c r="D31" s="117"/>
      <c r="E31" s="111">
        <v>641144.0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175</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176</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177</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178</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179</v>
      </c>
      <c r="D36" s="131"/>
      <c r="E36" s="126">
        <f>sum(E30:E35)</f>
        <v>1720964</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180</v>
      </c>
      <c r="D37" s="135"/>
      <c r="E37" s="136">
        <f>E36+E28</f>
        <v>2154774</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PUGET SOUND SAGE</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181</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182</v>
      </c>
      <c r="C3" s="144" t="s">
        <v>183</v>
      </c>
      <c r="D3" s="145">
        <f>'Expenses 2024'!C40</f>
        <v>1333716</v>
      </c>
      <c r="E3" s="146"/>
      <c r="F3" s="43"/>
      <c r="G3" s="43"/>
      <c r="H3" s="43"/>
      <c r="I3" s="43"/>
      <c r="J3" s="43"/>
      <c r="K3" s="43"/>
      <c r="L3" s="43"/>
      <c r="M3" s="43"/>
      <c r="N3" s="43"/>
      <c r="O3" s="43"/>
      <c r="P3" s="43"/>
      <c r="Q3" s="43"/>
      <c r="R3" s="43"/>
      <c r="S3" s="43"/>
      <c r="T3" s="43"/>
      <c r="U3" s="43"/>
      <c r="V3" s="43"/>
      <c r="W3" s="43"/>
      <c r="X3" s="43"/>
      <c r="Y3" s="43"/>
    </row>
    <row r="4">
      <c r="A4" s="138"/>
      <c r="B4" s="49"/>
      <c r="C4" s="144" t="s">
        <v>184</v>
      </c>
      <c r="D4" s="145">
        <f>'Expenses 2024'!C31</f>
        <v>5253</v>
      </c>
      <c r="E4" s="146"/>
      <c r="F4" s="43"/>
      <c r="G4" s="43"/>
      <c r="H4" s="43"/>
      <c r="I4" s="43"/>
      <c r="J4" s="43"/>
      <c r="K4" s="43"/>
      <c r="L4" s="43"/>
      <c r="M4" s="43"/>
      <c r="N4" s="43"/>
      <c r="O4" s="43"/>
      <c r="P4" s="43"/>
      <c r="Q4" s="43"/>
      <c r="R4" s="43"/>
      <c r="S4" s="43"/>
      <c r="T4" s="43"/>
      <c r="U4" s="43"/>
      <c r="V4" s="43"/>
      <c r="W4" s="43"/>
      <c r="X4" s="43"/>
      <c r="Y4" s="43"/>
    </row>
    <row r="5">
      <c r="A5" s="138"/>
      <c r="B5" s="49"/>
      <c r="C5" s="144" t="s">
        <v>185</v>
      </c>
      <c r="D5" s="145">
        <f>D3-D4</f>
        <v>1328463</v>
      </c>
      <c r="E5" s="146"/>
      <c r="F5" s="43"/>
      <c r="G5" s="43"/>
      <c r="H5" s="43"/>
      <c r="I5" s="43"/>
      <c r="J5" s="43"/>
      <c r="K5" s="43"/>
      <c r="L5" s="43"/>
      <c r="M5" s="43"/>
      <c r="N5" s="43"/>
      <c r="O5" s="43"/>
      <c r="P5" s="43"/>
      <c r="Q5" s="43"/>
      <c r="R5" s="43"/>
      <c r="S5" s="43"/>
      <c r="T5" s="43"/>
      <c r="U5" s="43"/>
      <c r="V5" s="43"/>
      <c r="W5" s="43"/>
      <c r="X5" s="43"/>
      <c r="Y5" s="43"/>
    </row>
    <row r="6">
      <c r="A6" s="138"/>
      <c r="B6" s="49"/>
      <c r="C6" s="144" t="s">
        <v>186</v>
      </c>
      <c r="D6" s="145">
        <f>D5/12</f>
        <v>110705.25</v>
      </c>
      <c r="E6" s="146"/>
      <c r="F6" s="43"/>
      <c r="G6" s="43"/>
      <c r="H6" s="43"/>
      <c r="I6" s="43"/>
      <c r="J6" s="43"/>
      <c r="K6" s="43"/>
      <c r="L6" s="43"/>
      <c r="M6" s="43"/>
      <c r="N6" s="43"/>
      <c r="O6" s="43"/>
      <c r="P6" s="43"/>
      <c r="Q6" s="43"/>
      <c r="R6" s="43"/>
      <c r="S6" s="43"/>
      <c r="T6" s="43"/>
      <c r="U6" s="43"/>
      <c r="V6" s="43"/>
      <c r="W6" s="43"/>
      <c r="X6" s="43"/>
      <c r="Y6" s="43"/>
    </row>
    <row r="7">
      <c r="A7" s="138"/>
      <c r="B7" s="49"/>
      <c r="C7" s="144" t="s">
        <v>187</v>
      </c>
      <c r="D7" s="75">
        <f>'Balance Sheet 2024'!E2+'Balance Sheet 2024'!E3</f>
        <v>1103142</v>
      </c>
      <c r="E7" s="146"/>
      <c r="F7" s="43"/>
      <c r="G7" s="43"/>
      <c r="H7" s="43"/>
      <c r="I7" s="43"/>
      <c r="J7" s="43"/>
      <c r="K7" s="43"/>
      <c r="L7" s="43"/>
      <c r="M7" s="43"/>
      <c r="N7" s="43"/>
      <c r="O7" s="43"/>
      <c r="P7" s="43"/>
      <c r="Q7" s="43"/>
      <c r="R7" s="43"/>
      <c r="S7" s="43"/>
      <c r="T7" s="43"/>
      <c r="U7" s="43"/>
      <c r="V7" s="43"/>
      <c r="W7" s="43"/>
      <c r="X7" s="43"/>
      <c r="Y7" s="43"/>
    </row>
    <row r="8">
      <c r="A8" s="138"/>
      <c r="B8" s="49"/>
      <c r="C8" s="147" t="s">
        <v>181</v>
      </c>
      <c r="D8" s="148">
        <f>D7/D6</f>
        <v>9.964676472</v>
      </c>
      <c r="E8" s="149" t="s">
        <v>188</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189</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190</v>
      </c>
      <c r="C11" s="144" t="s">
        <v>191</v>
      </c>
      <c r="D11" s="75">
        <f>'Balance Sheet 2024'!E30</f>
        <v>1079820</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192</v>
      </c>
      <c r="D12" s="75">
        <f>'Expenses 2024'!C40</f>
        <v>1333716</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193</v>
      </c>
      <c r="D13" s="145">
        <f>D12/12</f>
        <v>111143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189</v>
      </c>
      <c r="D14" s="148">
        <f>D11/D13</f>
        <v>9.715591625</v>
      </c>
      <c r="E14" s="149" t="s">
        <v>188</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194</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195</v>
      </c>
      <c r="C17" s="144" t="s">
        <v>196</v>
      </c>
      <c r="D17" s="75">
        <f>sum('Balance Sheet 2024'!E13:E15)</f>
        <v>375940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192</v>
      </c>
      <c r="D18" s="75">
        <f>'Expenses 2024'!C40</f>
        <v>1333716</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193</v>
      </c>
      <c r="D19" s="145">
        <f>D18/12</f>
        <v>111143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197</v>
      </c>
      <c r="D20" s="148">
        <f>D17/D19</f>
        <v>3.382489226</v>
      </c>
      <c r="E20" s="149" t="s">
        <v>188</v>
      </c>
      <c r="F20" s="43"/>
      <c r="G20" s="43"/>
      <c r="H20" s="43"/>
      <c r="I20" s="43"/>
      <c r="J20" s="43"/>
      <c r="K20" s="43"/>
      <c r="L20" s="43"/>
      <c r="M20" s="43"/>
      <c r="N20" s="43"/>
      <c r="O20" s="43"/>
      <c r="P20" s="43"/>
      <c r="Q20" s="43"/>
      <c r="R20" s="43"/>
      <c r="S20" s="43"/>
      <c r="T20" s="43"/>
      <c r="U20" s="43"/>
      <c r="V20" s="43"/>
      <c r="W20" s="43"/>
      <c r="X20" s="43"/>
      <c r="Y20" s="43"/>
    </row>
    <row r="21">
      <c r="A21" s="138"/>
      <c r="B21" s="49"/>
      <c r="C21" s="153" t="s">
        <v>198</v>
      </c>
      <c r="D21" s="154">
        <f>D20+D8</f>
        <v>13.3471657</v>
      </c>
      <c r="E21" s="155" t="s">
        <v>188</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199</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200</v>
      </c>
      <c r="C24" s="159"/>
      <c r="D24" s="160">
        <f>max('Revenues 2024'!E2:E7,'Revenues 2024'!F10:F15)</f>
        <v>1127266</v>
      </c>
      <c r="E24" s="161" t="s">
        <v>201</v>
      </c>
      <c r="F24" s="43"/>
      <c r="G24" s="43"/>
      <c r="H24" s="43"/>
      <c r="I24" s="43"/>
      <c r="J24" s="43"/>
      <c r="K24" s="43"/>
      <c r="L24" s="43"/>
      <c r="M24" s="43"/>
      <c r="N24" s="43"/>
      <c r="O24" s="43"/>
      <c r="P24" s="43"/>
      <c r="Q24" s="43"/>
      <c r="R24" s="43"/>
      <c r="S24" s="43"/>
      <c r="T24" s="43"/>
      <c r="U24" s="43"/>
      <c r="V24" s="43"/>
      <c r="W24" s="43"/>
      <c r="X24" s="43"/>
      <c r="Y24" s="43"/>
    </row>
    <row r="25">
      <c r="A25" s="138"/>
      <c r="B25" s="49"/>
      <c r="C25" s="144" t="s">
        <v>202</v>
      </c>
      <c r="D25" s="145">
        <f>'Revenues 2024'!F44</f>
        <v>1326559</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199</v>
      </c>
      <c r="D26" s="162">
        <f>D24/D25</f>
        <v>0.8497669534</v>
      </c>
      <c r="E26" s="149" t="s">
        <v>203</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204</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205</v>
      </c>
      <c r="C29" s="144" t="s">
        <v>206</v>
      </c>
      <c r="D29" s="75">
        <f>SUM('Expenses 2024'!C7:C9)</f>
        <v>584134</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207</v>
      </c>
      <c r="D30" s="75">
        <f>SUM('Expenses 2024'!C10:C12)</f>
        <v>359757</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208</v>
      </c>
      <c r="D31" s="75">
        <f>sum(D29:D30)</f>
        <v>943891</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183</v>
      </c>
      <c r="D32" s="75">
        <f>'Expenses 2024'!C40</f>
        <v>1333716</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209</v>
      </c>
      <c r="D33" s="162">
        <f>D31/D32</f>
        <v>0.7077151358</v>
      </c>
      <c r="E33" s="149" t="s">
        <v>210</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211</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212</v>
      </c>
      <c r="C36" s="144" t="s">
        <v>213</v>
      </c>
      <c r="D36" s="75">
        <f>SUM('Expenses 2024'!C10:C11)</f>
        <v>239413</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206</v>
      </c>
      <c r="D37" s="75">
        <f>SUM('Expenses 2024'!C7:C9)</f>
        <v>584134</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211</v>
      </c>
      <c r="D38" s="162">
        <f>D36/D37</f>
        <v>0.409859724</v>
      </c>
      <c r="E38" s="149" t="s">
        <v>214</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215</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216</v>
      </c>
      <c r="C41" s="147" t="s">
        <v>243</v>
      </c>
      <c r="D41" s="75">
        <f>'Expenses 2024'!D40</f>
        <v>958465</v>
      </c>
      <c r="E41" s="164">
        <f t="shared" ref="E41:E44" si="1">D41/$D$44</f>
        <v>0.7186424996</v>
      </c>
      <c r="F41" s="43"/>
      <c r="G41" s="43"/>
      <c r="H41" s="43"/>
      <c r="I41" s="43"/>
      <c r="J41" s="43"/>
      <c r="K41" s="43"/>
      <c r="L41" s="43"/>
      <c r="M41" s="43"/>
      <c r="N41" s="43"/>
      <c r="O41" s="43"/>
      <c r="P41" s="43"/>
      <c r="Q41" s="43"/>
      <c r="R41" s="43"/>
      <c r="S41" s="43"/>
      <c r="T41" s="43"/>
      <c r="U41" s="43"/>
      <c r="V41" s="43"/>
      <c r="W41" s="43"/>
      <c r="X41" s="43"/>
      <c r="Y41" s="43"/>
    </row>
    <row r="42">
      <c r="A42" s="138"/>
      <c r="B42" s="49"/>
      <c r="C42" s="147" t="s">
        <v>218</v>
      </c>
      <c r="D42" s="145">
        <f>'Expenses 2024'!E40</f>
        <v>242071</v>
      </c>
      <c r="E42" s="164">
        <f t="shared" si="1"/>
        <v>0.1815011592</v>
      </c>
      <c r="F42" s="43"/>
      <c r="G42" s="43"/>
      <c r="H42" s="43"/>
      <c r="I42" s="43"/>
      <c r="J42" s="43"/>
      <c r="K42" s="43"/>
      <c r="L42" s="43"/>
      <c r="M42" s="43"/>
      <c r="N42" s="43"/>
      <c r="O42" s="43"/>
      <c r="P42" s="43"/>
      <c r="Q42" s="43"/>
      <c r="R42" s="43"/>
      <c r="S42" s="43"/>
      <c r="T42" s="43"/>
      <c r="U42" s="43"/>
      <c r="V42" s="43"/>
      <c r="W42" s="43"/>
      <c r="X42" s="43"/>
      <c r="Y42" s="43"/>
    </row>
    <row r="43">
      <c r="A43" s="138"/>
      <c r="B43" s="49"/>
      <c r="C43" s="147" t="s">
        <v>219</v>
      </c>
      <c r="D43" s="145">
        <f>'Expenses 2024'!F40</f>
        <v>133180</v>
      </c>
      <c r="E43" s="164">
        <f t="shared" si="1"/>
        <v>0.09985634123</v>
      </c>
      <c r="F43" s="43"/>
      <c r="G43" s="43"/>
      <c r="H43" s="43"/>
      <c r="I43" s="43"/>
      <c r="J43" s="43"/>
      <c r="K43" s="43"/>
      <c r="L43" s="43"/>
      <c r="M43" s="43"/>
      <c r="N43" s="43"/>
      <c r="O43" s="43"/>
      <c r="P43" s="43"/>
      <c r="Q43" s="43"/>
      <c r="R43" s="43"/>
      <c r="S43" s="43"/>
      <c r="T43" s="43"/>
      <c r="U43" s="43"/>
      <c r="V43" s="43"/>
      <c r="W43" s="43"/>
      <c r="X43" s="43"/>
      <c r="Y43" s="43"/>
    </row>
    <row r="44">
      <c r="A44" s="138"/>
      <c r="B44" s="49"/>
      <c r="C44" s="144" t="s">
        <v>183</v>
      </c>
      <c r="D44" s="145">
        <f>sum(D41:D43)</f>
        <v>1333716</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220</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221</v>
      </c>
      <c r="C47" s="144" t="s">
        <v>222</v>
      </c>
      <c r="D47" s="145">
        <f>'Revenues 2024'!F9</f>
        <v>1296040</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223</v>
      </c>
      <c r="D48" s="145">
        <f>'Expenses 2024'!F40</f>
        <v>133180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224</v>
      </c>
      <c r="D49" s="165">
        <f>if(D48=0, "$0",D47/D48)</f>
        <v>9.731491215</v>
      </c>
      <c r="E49" s="149" t="s">
        <v>225</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226</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227</v>
      </c>
      <c r="C52" s="144" t="s">
        <v>228</v>
      </c>
      <c r="D52" s="145">
        <f>sum('Balance Sheet 2024'!E2:E10)</f>
        <v>1527176</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229</v>
      </c>
      <c r="D53" s="145">
        <f>sum('Balance Sheet 2024'!E19:E22)</f>
        <v>242659</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230</v>
      </c>
      <c r="D54" s="167">
        <f>D52/D53</f>
        <v>6.293506526</v>
      </c>
      <c r="E54" s="149" t="s">
        <v>231</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232</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233</v>
      </c>
      <c r="C57" s="144" t="s">
        <v>234</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235</v>
      </c>
      <c r="D58" s="145">
        <f>'Balance Sheet 2024'!E18</f>
        <v>2154774</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236</v>
      </c>
      <c r="D59" s="168">
        <f>D57/D58</f>
        <v>0</v>
      </c>
      <c r="E59" s="149" t="s">
        <v>237</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PUGET SOUND SAGE</v>
      </c>
      <c r="B1" s="2" t="s">
        <v>244</v>
      </c>
      <c r="C1" s="138"/>
      <c r="D1" s="138"/>
      <c r="E1" s="138"/>
      <c r="F1" s="139"/>
      <c r="G1" s="139"/>
      <c r="H1" s="139"/>
      <c r="I1" s="43"/>
      <c r="J1" s="43"/>
      <c r="K1" s="43"/>
      <c r="L1" s="43"/>
      <c r="M1" s="43"/>
      <c r="N1" s="43"/>
      <c r="O1" s="43"/>
      <c r="P1" s="43"/>
      <c r="Q1" s="43"/>
      <c r="R1" s="43"/>
      <c r="S1" s="43"/>
      <c r="T1" s="43"/>
      <c r="U1" s="43"/>
      <c r="V1" s="43"/>
      <c r="W1" s="43"/>
      <c r="X1" s="43"/>
      <c r="Y1" s="43"/>
    </row>
    <row r="2">
      <c r="A2" s="140" t="s">
        <v>181</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182</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245</v>
      </c>
      <c r="E4" s="45" t="s">
        <v>246</v>
      </c>
      <c r="F4" s="45" t="s">
        <v>247</v>
      </c>
      <c r="G4" s="59" t="s">
        <v>248</v>
      </c>
      <c r="H4" s="59"/>
      <c r="I4" s="43"/>
      <c r="J4" s="43"/>
      <c r="K4" s="43"/>
      <c r="L4" s="43"/>
      <c r="M4" s="43"/>
      <c r="N4" s="43"/>
      <c r="O4" s="43"/>
      <c r="P4" s="43"/>
      <c r="Q4" s="43"/>
      <c r="R4" s="43"/>
      <c r="S4" s="43"/>
      <c r="T4" s="43"/>
      <c r="U4" s="43"/>
      <c r="V4" s="43"/>
      <c r="W4" s="43"/>
      <c r="X4" s="43"/>
      <c r="Y4" s="43"/>
    </row>
    <row r="5">
      <c r="A5" s="138"/>
      <c r="B5" s="49"/>
      <c r="C5" s="147" t="s">
        <v>181</v>
      </c>
      <c r="D5" s="176">
        <f>'Ratios 2022'!D8</f>
        <v>10.83911777</v>
      </c>
      <c r="E5" s="176">
        <f>'Ratios 2023'!D8</f>
        <v>8.037707196</v>
      </c>
      <c r="F5" s="176">
        <f>'Ratios 2024'!D8</f>
        <v>9.964676472</v>
      </c>
      <c r="G5" s="176">
        <f>average(D5:F5)</f>
        <v>9.613833813</v>
      </c>
      <c r="H5" s="149" t="s">
        <v>188</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189</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190</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245</v>
      </c>
      <c r="E9" s="45" t="s">
        <v>246</v>
      </c>
      <c r="F9" s="45" t="s">
        <v>247</v>
      </c>
      <c r="G9" s="59" t="s">
        <v>248</v>
      </c>
      <c r="H9" s="59"/>
      <c r="I9" s="43"/>
      <c r="J9" s="43"/>
      <c r="K9" s="43"/>
      <c r="L9" s="43"/>
      <c r="M9" s="43"/>
      <c r="N9" s="43"/>
      <c r="O9" s="43"/>
      <c r="P9" s="43"/>
      <c r="Q9" s="43"/>
      <c r="R9" s="43"/>
      <c r="S9" s="43"/>
      <c r="T9" s="43"/>
      <c r="U9" s="43"/>
      <c r="V9" s="43"/>
      <c r="W9" s="43"/>
      <c r="X9" s="43"/>
      <c r="Y9" s="43"/>
    </row>
    <row r="10">
      <c r="A10" s="138"/>
      <c r="B10" s="49"/>
      <c r="C10" s="147" t="s">
        <v>189</v>
      </c>
      <c r="D10" s="148">
        <f>'Ratios 2022'!D14</f>
        <v>6.85265131</v>
      </c>
      <c r="E10" s="148">
        <f>'Ratios 2023'!D14</f>
        <v>7.968636061</v>
      </c>
      <c r="F10" s="148">
        <f>'Ratios 2024'!D14</f>
        <v>9.715591625</v>
      </c>
      <c r="G10" s="176">
        <f>average(D10:F10)</f>
        <v>8.178959666</v>
      </c>
      <c r="H10" s="149" t="s">
        <v>188</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194</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195</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245</v>
      </c>
      <c r="E14" s="45" t="s">
        <v>246</v>
      </c>
      <c r="F14" s="45" t="s">
        <v>247</v>
      </c>
      <c r="G14" s="59" t="s">
        <v>248</v>
      </c>
      <c r="H14" s="59"/>
      <c r="I14" s="43"/>
      <c r="J14" s="43"/>
      <c r="K14" s="43"/>
      <c r="L14" s="43"/>
      <c r="M14" s="43"/>
      <c r="N14" s="43"/>
      <c r="O14" s="43"/>
      <c r="P14" s="43"/>
      <c r="Q14" s="43"/>
      <c r="R14" s="43"/>
      <c r="S14" s="43"/>
      <c r="T14" s="43"/>
      <c r="U14" s="43"/>
      <c r="V14" s="43"/>
      <c r="W14" s="43"/>
      <c r="X14" s="43"/>
      <c r="Y14" s="43"/>
    </row>
    <row r="15">
      <c r="A15" s="138"/>
      <c r="B15" s="49"/>
      <c r="C15" s="147" t="s">
        <v>197</v>
      </c>
      <c r="D15" s="179">
        <f>'Ratios 2022'!D20</f>
        <v>0</v>
      </c>
      <c r="E15" s="179">
        <f>'Ratios 2023'!D20</f>
        <v>3.405036246</v>
      </c>
      <c r="F15" s="179">
        <f>'Ratios 2024'!D20</f>
        <v>3.382489226</v>
      </c>
      <c r="G15" s="176">
        <f>average(D15:F15)</f>
        <v>2.262508491</v>
      </c>
      <c r="H15" s="149" t="s">
        <v>188</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199</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200</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245</v>
      </c>
      <c r="E19" s="45" t="s">
        <v>246</v>
      </c>
      <c r="F19" s="45" t="s">
        <v>247</v>
      </c>
      <c r="G19" s="59" t="s">
        <v>248</v>
      </c>
      <c r="H19" s="59"/>
      <c r="I19" s="43"/>
      <c r="J19" s="43"/>
      <c r="K19" s="43"/>
      <c r="L19" s="43"/>
      <c r="M19" s="43"/>
      <c r="N19" s="43"/>
      <c r="O19" s="43"/>
      <c r="P19" s="43"/>
      <c r="Q19" s="43"/>
      <c r="R19" s="43"/>
      <c r="S19" s="43"/>
      <c r="T19" s="43"/>
      <c r="U19" s="43"/>
      <c r="V19" s="43"/>
      <c r="W19" s="43"/>
      <c r="X19" s="43"/>
      <c r="Y19" s="43"/>
    </row>
    <row r="20">
      <c r="A20" s="138"/>
      <c r="B20" s="49"/>
      <c r="C20" s="147" t="s">
        <v>199</v>
      </c>
      <c r="D20" s="162">
        <f>'Ratios 2022'!D26</f>
        <v>0.7857501271</v>
      </c>
      <c r="E20" s="162">
        <f>'Ratios 2023'!D26</f>
        <v>0.8647396448</v>
      </c>
      <c r="F20" s="162">
        <f>'Ratios 2024'!D26</f>
        <v>0.8497669534</v>
      </c>
      <c r="G20" s="180">
        <f>average(D20:F20)</f>
        <v>0.8334189085</v>
      </c>
      <c r="H20" s="149" t="s">
        <v>203</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204</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205</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245</v>
      </c>
      <c r="E24" s="45" t="s">
        <v>246</v>
      </c>
      <c r="F24" s="45" t="s">
        <v>247</v>
      </c>
      <c r="G24" s="59" t="s">
        <v>248</v>
      </c>
      <c r="H24" s="59"/>
      <c r="I24" s="43"/>
      <c r="J24" s="43"/>
      <c r="K24" s="43"/>
      <c r="L24" s="43"/>
      <c r="M24" s="43"/>
      <c r="N24" s="43"/>
      <c r="O24" s="43"/>
      <c r="P24" s="43"/>
      <c r="Q24" s="43"/>
      <c r="R24" s="43"/>
      <c r="S24" s="43"/>
      <c r="T24" s="43"/>
      <c r="U24" s="43"/>
      <c r="V24" s="43"/>
      <c r="W24" s="43"/>
      <c r="X24" s="43"/>
      <c r="Y24" s="43"/>
    </row>
    <row r="25">
      <c r="A25" s="138"/>
      <c r="B25" s="49"/>
      <c r="C25" s="147" t="s">
        <v>209</v>
      </c>
      <c r="D25" s="162">
        <f>'Ratios 2022'!D33</f>
        <v>0.6134088229</v>
      </c>
      <c r="E25" s="162">
        <f>'Ratios 2023'!D33</f>
        <v>0.6765359451</v>
      </c>
      <c r="F25" s="162">
        <f>'Ratios 2024'!D33</f>
        <v>0.7077151358</v>
      </c>
      <c r="G25" s="180">
        <f>average(D25:F25)</f>
        <v>0.6658866346</v>
      </c>
      <c r="H25" s="149" t="s">
        <v>210</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211</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212</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245</v>
      </c>
      <c r="E29" s="45" t="s">
        <v>246</v>
      </c>
      <c r="F29" s="45" t="s">
        <v>247</v>
      </c>
      <c r="G29" s="59" t="s">
        <v>248</v>
      </c>
      <c r="H29" s="59"/>
      <c r="I29" s="43"/>
      <c r="J29" s="43"/>
      <c r="K29" s="43"/>
      <c r="L29" s="43"/>
      <c r="M29" s="43"/>
      <c r="N29" s="43"/>
      <c r="O29" s="43"/>
      <c r="P29" s="43"/>
      <c r="Q29" s="43"/>
      <c r="R29" s="43"/>
      <c r="S29" s="43"/>
      <c r="T29" s="43"/>
      <c r="U29" s="43"/>
      <c r="V29" s="43"/>
      <c r="W29" s="43"/>
      <c r="X29" s="43"/>
      <c r="Y29" s="43"/>
    </row>
    <row r="30">
      <c r="A30" s="138"/>
      <c r="B30" s="49"/>
      <c r="C30" s="147" t="s">
        <v>211</v>
      </c>
      <c r="D30" s="162">
        <f>'Ratios 2022'!D38</f>
        <v>0.1399110872</v>
      </c>
      <c r="E30" s="162">
        <f>'Ratios 2023'!D38</f>
        <v>0.1688590722</v>
      </c>
      <c r="F30" s="162">
        <f>'Ratios 2024'!D38</f>
        <v>0.409859724</v>
      </c>
      <c r="G30" s="180">
        <f>average(D30:F30)</f>
        <v>0.2395432945</v>
      </c>
      <c r="H30" s="149" t="s">
        <v>214</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215</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216</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245</v>
      </c>
      <c r="E34" s="45" t="s">
        <v>246</v>
      </c>
      <c r="F34" s="45" t="s">
        <v>247</v>
      </c>
      <c r="G34" s="59" t="s">
        <v>248</v>
      </c>
      <c r="H34" s="59"/>
      <c r="I34" s="43"/>
      <c r="J34" s="43"/>
      <c r="K34" s="43"/>
      <c r="L34" s="43"/>
      <c r="M34" s="43"/>
      <c r="N34" s="43"/>
      <c r="O34" s="43"/>
      <c r="P34" s="43"/>
      <c r="Q34" s="43"/>
      <c r="R34" s="43"/>
      <c r="S34" s="43"/>
      <c r="T34" s="43"/>
      <c r="U34" s="43"/>
      <c r="V34" s="43"/>
      <c r="W34" s="43"/>
      <c r="X34" s="43"/>
      <c r="Y34" s="43"/>
    </row>
    <row r="35">
      <c r="A35" s="138"/>
      <c r="B35" s="49"/>
      <c r="C35" s="147" t="s">
        <v>249</v>
      </c>
      <c r="D35" s="162">
        <f>'Ratios 2022'!E41</f>
        <v>0.7077334624</v>
      </c>
      <c r="E35" s="162">
        <f>'Ratios 2023'!E41</f>
        <v>0.6723185796</v>
      </c>
      <c r="F35" s="162">
        <f>'Ratios 2024'!E41</f>
        <v>0.7186424996</v>
      </c>
      <c r="G35" s="180">
        <f t="shared" ref="G35:G37" si="1">average(D35:F35)</f>
        <v>0.6995648472</v>
      </c>
      <c r="H35" s="180"/>
      <c r="I35" s="43"/>
      <c r="J35" s="43"/>
      <c r="K35" s="43"/>
      <c r="L35" s="43"/>
      <c r="M35" s="43"/>
      <c r="N35" s="43"/>
      <c r="O35" s="43"/>
      <c r="P35" s="43"/>
      <c r="Q35" s="43"/>
      <c r="R35" s="43"/>
      <c r="S35" s="43"/>
      <c r="T35" s="43"/>
      <c r="U35" s="43"/>
      <c r="V35" s="43"/>
      <c r="W35" s="43"/>
      <c r="X35" s="43"/>
      <c r="Y35" s="43"/>
    </row>
    <row r="36">
      <c r="A36" s="138"/>
      <c r="B36" s="52"/>
      <c r="C36" s="147" t="s">
        <v>218</v>
      </c>
      <c r="D36" s="162">
        <f>'Ratios 2022'!E42</f>
        <v>0.194850648</v>
      </c>
      <c r="E36" s="162">
        <f>'Ratios 2023'!E42</f>
        <v>0.213103996</v>
      </c>
      <c r="F36" s="162">
        <f>'Ratios 2024'!E42</f>
        <v>0.1815011592</v>
      </c>
      <c r="G36" s="180">
        <f t="shared" si="1"/>
        <v>0.1964852677</v>
      </c>
      <c r="H36" s="180"/>
      <c r="I36" s="43"/>
      <c r="J36" s="43"/>
      <c r="K36" s="43"/>
      <c r="L36" s="43"/>
      <c r="M36" s="43"/>
      <c r="N36" s="43"/>
      <c r="O36" s="43"/>
      <c r="P36" s="43"/>
      <c r="Q36" s="43"/>
      <c r="R36" s="43"/>
      <c r="S36" s="43"/>
      <c r="T36" s="43"/>
      <c r="U36" s="43"/>
      <c r="V36" s="43"/>
      <c r="W36" s="43"/>
      <c r="X36" s="43"/>
      <c r="Y36" s="43"/>
    </row>
    <row r="37">
      <c r="A37" s="138"/>
      <c r="B37" s="181"/>
      <c r="C37" s="147" t="s">
        <v>219</v>
      </c>
      <c r="D37" s="162">
        <f>'Ratios 2022'!E43</f>
        <v>0.09741588959</v>
      </c>
      <c r="E37" s="162">
        <f>'Ratios 2023'!E43</f>
        <v>0.1145774245</v>
      </c>
      <c r="F37" s="162">
        <f>'Ratios 2024'!E43</f>
        <v>0.09985634123</v>
      </c>
      <c r="G37" s="180">
        <f t="shared" si="1"/>
        <v>0.1039498851</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220</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221</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245</v>
      </c>
      <c r="E41" s="45" t="s">
        <v>246</v>
      </c>
      <c r="F41" s="45" t="s">
        <v>247</v>
      </c>
      <c r="G41" s="59" t="s">
        <v>248</v>
      </c>
      <c r="H41" s="59"/>
      <c r="I41" s="43"/>
      <c r="J41" s="43"/>
      <c r="K41" s="43"/>
      <c r="L41" s="43"/>
      <c r="M41" s="43"/>
      <c r="N41" s="43"/>
      <c r="O41" s="43"/>
      <c r="P41" s="43"/>
      <c r="Q41" s="43"/>
      <c r="R41" s="43"/>
      <c r="S41" s="43"/>
      <c r="T41" s="43"/>
      <c r="U41" s="43"/>
      <c r="V41" s="43"/>
      <c r="W41" s="43"/>
      <c r="X41" s="43"/>
      <c r="Y41" s="43"/>
    </row>
    <row r="42">
      <c r="A42" s="138"/>
      <c r="B42" s="49"/>
      <c r="C42" s="147" t="s">
        <v>224</v>
      </c>
      <c r="D42" s="165">
        <f>'Ratios 2022'!D49</f>
        <v>12.90969463</v>
      </c>
      <c r="E42" s="165">
        <f>'Ratios 2023'!D49</f>
        <v>5.467653668</v>
      </c>
      <c r="F42" s="165">
        <f>'Ratios 2024'!D49</f>
        <v>9.731491215</v>
      </c>
      <c r="G42" s="182">
        <f>if((D42+E42+F42=0),0,(D42+E42+F42)/3)</f>
        <v>9.369613171</v>
      </c>
      <c r="H42" s="149" t="s">
        <v>225</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226</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227</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245</v>
      </c>
      <c r="E46" s="45" t="s">
        <v>246</v>
      </c>
      <c r="F46" s="45" t="s">
        <v>247</v>
      </c>
      <c r="G46" s="59" t="s">
        <v>248</v>
      </c>
      <c r="H46" s="59"/>
      <c r="I46" s="43"/>
      <c r="J46" s="43"/>
      <c r="K46" s="43"/>
      <c r="L46" s="43"/>
      <c r="M46" s="43"/>
      <c r="N46" s="43"/>
      <c r="O46" s="43"/>
      <c r="P46" s="43"/>
      <c r="Q46" s="43"/>
      <c r="R46" s="43"/>
      <c r="S46" s="43"/>
      <c r="T46" s="43"/>
      <c r="U46" s="43"/>
      <c r="V46" s="43"/>
      <c r="W46" s="43"/>
      <c r="X46" s="43"/>
      <c r="Y46" s="43"/>
    </row>
    <row r="47">
      <c r="A47" s="138"/>
      <c r="B47" s="49"/>
      <c r="C47" s="147" t="s">
        <v>230</v>
      </c>
      <c r="D47" s="148">
        <f>'Ratios 2022'!D54</f>
        <v>7.743309338</v>
      </c>
      <c r="E47" s="148">
        <f>'Ratios 2023'!D54</f>
        <v>6.960373719</v>
      </c>
      <c r="F47" s="148">
        <f>'Ratios 2024'!D54</f>
        <v>6.293506526</v>
      </c>
      <c r="G47" s="176">
        <f>average(D47:F47)</f>
        <v>6.999063194</v>
      </c>
      <c r="H47" s="149" t="s">
        <v>231</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232</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233</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245</v>
      </c>
      <c r="E51" s="45" t="s">
        <v>246</v>
      </c>
      <c r="F51" s="45" t="s">
        <v>247</v>
      </c>
      <c r="G51" s="59" t="s">
        <v>248</v>
      </c>
      <c r="H51" s="59"/>
      <c r="I51" s="43"/>
      <c r="J51" s="43"/>
      <c r="K51" s="43"/>
      <c r="L51" s="43"/>
      <c r="M51" s="43"/>
      <c r="N51" s="43"/>
      <c r="O51" s="43"/>
      <c r="P51" s="43"/>
      <c r="Q51" s="43"/>
      <c r="R51" s="43"/>
      <c r="S51" s="43"/>
      <c r="T51" s="43"/>
      <c r="U51" s="43"/>
      <c r="V51" s="43"/>
      <c r="W51" s="43"/>
      <c r="X51" s="43"/>
      <c r="Y51" s="43"/>
    </row>
    <row r="52">
      <c r="A52" s="138"/>
      <c r="B52" s="49"/>
      <c r="C52" s="147" t="s">
        <v>236</v>
      </c>
      <c r="D52" s="183">
        <f>'Ratios 2022'!D59</f>
        <v>0</v>
      </c>
      <c r="E52" s="183">
        <f>'Ratios 2023'!D59</f>
        <v>0</v>
      </c>
      <c r="F52" s="183">
        <f>'Ratios 2024'!D59</f>
        <v>0</v>
      </c>
      <c r="G52" s="184">
        <f>average(D52:F52)</f>
        <v>0</v>
      </c>
      <c r="H52" s="149" t="s">
        <v>237</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PUGET SOUND SAGE</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PUGET SOUND SAGE</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466172.0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1866584.0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2332756</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21681.0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79</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206.0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-206</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-206</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96</v>
      </c>
      <c r="D39" s="74"/>
      <c r="E39" s="48">
        <v>21313.0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97</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21313</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2375544</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PUGET SOUND SAGE</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483898</v>
      </c>
      <c r="D3" s="99">
        <v>483898.0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109</v>
      </c>
      <c r="C9" s="98">
        <f t="shared" si="1"/>
        <v>927875</v>
      </c>
      <c r="D9" s="99">
        <v>595230.0</v>
      </c>
      <c r="E9" s="99">
        <v>209322.0</v>
      </c>
      <c r="F9" s="99">
        <v>123323.0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59588</v>
      </c>
      <c r="D10" s="99">
        <v>38110.0</v>
      </c>
      <c r="E10" s="99">
        <v>13520.0</v>
      </c>
      <c r="F10" s="99">
        <v>7958.0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70232</v>
      </c>
      <c r="D11" s="99">
        <v>29432.0</v>
      </c>
      <c r="E11" s="99">
        <v>31463.0</v>
      </c>
      <c r="F11" s="99">
        <v>9337.0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80125</v>
      </c>
      <c r="D12" s="99">
        <v>50546.0</v>
      </c>
      <c r="E12" s="99">
        <v>19001.0</v>
      </c>
      <c r="F12" s="99">
        <v>10578.0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12553</v>
      </c>
      <c r="D15" s="99">
        <v>0.0</v>
      </c>
      <c r="E15" s="99">
        <v>12553.0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37821</v>
      </c>
      <c r="D16" s="99">
        <v>14500.0</v>
      </c>
      <c r="E16" s="99">
        <v>21280.0</v>
      </c>
      <c r="F16" s="99">
        <v>2041.0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38424</v>
      </c>
      <c r="D20" s="99">
        <v>12650.0</v>
      </c>
      <c r="E20" s="99">
        <v>9300.0</v>
      </c>
      <c r="F20" s="99">
        <v>16474.0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7769</v>
      </c>
      <c r="D22" s="99">
        <v>1859.0</v>
      </c>
      <c r="E22" s="99">
        <v>4505.0</v>
      </c>
      <c r="F22" s="99">
        <v>1405.0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44136</v>
      </c>
      <c r="D23" s="99">
        <v>25881.0</v>
      </c>
      <c r="E23" s="99">
        <v>15555.0</v>
      </c>
      <c r="F23" s="99">
        <v>2700.0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38939</v>
      </c>
      <c r="D25" s="99">
        <v>26035.0</v>
      </c>
      <c r="E25" s="99">
        <v>9454.0</v>
      </c>
      <c r="F25" s="99">
        <v>3450.0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4567</v>
      </c>
      <c r="D26" s="99">
        <v>3644.0</v>
      </c>
      <c r="E26" s="99">
        <v>358.0</v>
      </c>
      <c r="F26" s="99">
        <v>565.0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3727</v>
      </c>
      <c r="D28" s="99">
        <v>791.0</v>
      </c>
      <c r="E28" s="99">
        <v>2636.0</v>
      </c>
      <c r="F28" s="99">
        <v>300.0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6188</v>
      </c>
      <c r="D31" s="99">
        <v>0.0</v>
      </c>
      <c r="E31" s="99">
        <v>6188.0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1908</v>
      </c>
      <c r="D32" s="99">
        <v>1237.0</v>
      </c>
      <c r="E32" s="99">
        <v>555.0</v>
      </c>
      <c r="F32" s="99">
        <v>116.0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17715</v>
      </c>
      <c r="D34" s="99">
        <v>17715.0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135</v>
      </c>
      <c r="C35" s="98">
        <f t="shared" si="1"/>
        <v>7338</v>
      </c>
      <c r="D35" s="99">
        <v>2880.0</v>
      </c>
      <c r="E35" s="99">
        <v>3021.0</v>
      </c>
      <c r="F35" s="99">
        <v>1437.0</v>
      </c>
      <c r="G35" s="43"/>
      <c r="H35" s="43"/>
      <c r="I35" s="43"/>
      <c r="J35" s="43"/>
      <c r="K35" s="43"/>
      <c r="L35" s="43"/>
      <c r="M35" s="43"/>
      <c r="N35" s="43"/>
      <c r="O35" s="43"/>
      <c r="P35" s="43"/>
      <c r="Q35" s="43"/>
      <c r="R35" s="43"/>
      <c r="S35" s="43"/>
      <c r="T35" s="43"/>
      <c r="U35" s="43"/>
      <c r="V35" s="43"/>
      <c r="W35" s="43"/>
      <c r="X35" s="43"/>
      <c r="Y35" s="43"/>
      <c r="Z35" s="43"/>
    </row>
    <row r="36">
      <c r="A36" s="45" t="s">
        <v>50</v>
      </c>
      <c r="B36" s="102" t="s">
        <v>136</v>
      </c>
      <c r="C36" s="98">
        <f t="shared" si="1"/>
        <v>4472</v>
      </c>
      <c r="D36" s="99">
        <v>2575.0</v>
      </c>
      <c r="E36" s="99">
        <v>1527.0</v>
      </c>
      <c r="F36" s="99">
        <v>370.0</v>
      </c>
      <c r="G36" s="43"/>
      <c r="H36" s="43"/>
      <c r="I36" s="43"/>
      <c r="J36" s="43"/>
      <c r="K36" s="43"/>
      <c r="L36" s="43"/>
      <c r="M36" s="43"/>
      <c r="N36" s="43"/>
      <c r="O36" s="43"/>
      <c r="P36" s="43"/>
      <c r="Q36" s="43"/>
      <c r="R36" s="43"/>
      <c r="S36" s="43"/>
      <c r="T36" s="43"/>
      <c r="U36" s="43"/>
      <c r="V36" s="43"/>
      <c r="W36" s="43"/>
      <c r="X36" s="43"/>
      <c r="Y36" s="43"/>
      <c r="Z36" s="43"/>
    </row>
    <row r="37">
      <c r="A37" s="45" t="s">
        <v>52</v>
      </c>
      <c r="B37" s="102" t="s">
        <v>137</v>
      </c>
      <c r="C37" s="98">
        <f t="shared" si="1"/>
        <v>2450</v>
      </c>
      <c r="D37" s="99">
        <v>2450.0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5188</v>
      </c>
      <c r="D38" s="99">
        <v>3351.0</v>
      </c>
      <c r="E38" s="99">
        <v>1193.0</v>
      </c>
      <c r="F38" s="99">
        <v>644.0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3">
        <f t="shared" ref="C40:F40" si="2">sum(C3:C39)</f>
        <v>1854913</v>
      </c>
      <c r="D40" s="103">
        <f t="shared" si="2"/>
        <v>1312784</v>
      </c>
      <c r="E40" s="103">
        <f t="shared" si="2"/>
        <v>361431</v>
      </c>
      <c r="F40" s="103">
        <f t="shared" si="2"/>
        <v>180698</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PUGET SOUND SAGE</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140</v>
      </c>
      <c r="B2" s="45">
        <v>1.0</v>
      </c>
      <c r="C2" s="46" t="s">
        <v>141</v>
      </c>
      <c r="D2" s="110"/>
      <c r="E2" s="111">
        <v>0.0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2"/>
      <c r="E3" s="111">
        <v>1669879.0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0"/>
      <c r="E4" s="111">
        <v>470560.0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2"/>
      <c r="E5" s="111">
        <v>54601.0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0"/>
      <c r="E10" s="111">
        <v>19802.0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1">
        <v>32073.0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1">
        <v>16811.0</v>
      </c>
      <c r="E12" s="108">
        <f>D11-D12</f>
        <v>15262</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2"/>
      <c r="E17" s="111">
        <v>299310.0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3"/>
      <c r="E18" s="114">
        <f>sum(E2:E17)</f>
        <v>2529414</v>
      </c>
      <c r="F18" s="43"/>
      <c r="G18" s="43"/>
      <c r="H18" s="43"/>
      <c r="I18" s="43"/>
      <c r="J18" s="43"/>
      <c r="K18" s="43"/>
      <c r="L18" s="43"/>
      <c r="M18" s="43"/>
      <c r="N18" s="43"/>
      <c r="O18" s="43"/>
      <c r="P18" s="43"/>
      <c r="Q18" s="43"/>
      <c r="R18" s="43"/>
      <c r="S18" s="43"/>
      <c r="T18" s="43"/>
      <c r="U18" s="43"/>
      <c r="V18" s="43"/>
      <c r="W18" s="43"/>
      <c r="X18" s="43"/>
      <c r="Y18" s="43"/>
      <c r="Z18" s="43"/>
    </row>
    <row r="19">
      <c r="A19" s="44" t="s">
        <v>160</v>
      </c>
      <c r="B19" s="115">
        <v>17.0</v>
      </c>
      <c r="C19" s="116" t="s">
        <v>161</v>
      </c>
      <c r="D19" s="117"/>
      <c r="E19" s="111">
        <v>286033.0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162</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163</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164</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165</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166</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167</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168</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169</v>
      </c>
      <c r="D27" s="117"/>
      <c r="E27" s="118">
        <v>26662.0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170</v>
      </c>
      <c r="D28" s="125"/>
      <c r="E28" s="126">
        <f>sum(E19:E27)</f>
        <v>312695</v>
      </c>
      <c r="F28" s="43"/>
      <c r="G28" s="43"/>
      <c r="H28" s="43"/>
      <c r="I28" s="43"/>
      <c r="J28" s="43"/>
      <c r="K28" s="43"/>
      <c r="L28" s="43"/>
      <c r="M28" s="43"/>
      <c r="N28" s="43"/>
      <c r="O28" s="43"/>
      <c r="P28" s="43"/>
      <c r="Q28" s="43"/>
      <c r="R28" s="43"/>
      <c r="S28" s="43"/>
      <c r="T28" s="43"/>
      <c r="U28" s="43"/>
      <c r="V28" s="43"/>
      <c r="W28" s="43"/>
      <c r="X28" s="43"/>
      <c r="Y28" s="43"/>
      <c r="Z28" s="43"/>
    </row>
    <row r="29">
      <c r="A29" s="65" t="s">
        <v>171</v>
      </c>
      <c r="B29" s="127"/>
      <c r="C29" s="128" t="s">
        <v>172</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173</v>
      </c>
      <c r="D30" s="117"/>
      <c r="E30" s="111">
        <v>1059256.0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174</v>
      </c>
      <c r="D31" s="117"/>
      <c r="E31" s="111">
        <v>1157463.0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175</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176</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177</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178</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179</v>
      </c>
      <c r="D36" s="131"/>
      <c r="E36" s="126">
        <f>sum(E30:E35)</f>
        <v>2216719</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180</v>
      </c>
      <c r="D37" s="135"/>
      <c r="E37" s="136">
        <f>E36+E28</f>
        <v>2529414</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PUGET SOUND SAGE</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181</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182</v>
      </c>
      <c r="C3" s="144" t="s">
        <v>183</v>
      </c>
      <c r="D3" s="145">
        <f>'Expenses 2022'!C40</f>
        <v>1854913</v>
      </c>
      <c r="E3" s="146"/>
      <c r="F3" s="43"/>
      <c r="G3" s="43"/>
      <c r="H3" s="43"/>
      <c r="I3" s="43"/>
      <c r="J3" s="43"/>
      <c r="K3" s="43"/>
      <c r="L3" s="43"/>
      <c r="M3" s="43"/>
      <c r="N3" s="43"/>
      <c r="O3" s="43"/>
      <c r="P3" s="43"/>
      <c r="Q3" s="43"/>
      <c r="R3" s="43"/>
      <c r="S3" s="43"/>
      <c r="T3" s="43"/>
      <c r="U3" s="43"/>
      <c r="V3" s="43"/>
      <c r="W3" s="43"/>
      <c r="X3" s="43"/>
      <c r="Y3" s="43"/>
    </row>
    <row r="4">
      <c r="A4" s="138"/>
      <c r="B4" s="49"/>
      <c r="C4" s="144" t="s">
        <v>184</v>
      </c>
      <c r="D4" s="145">
        <f>'Expenses 2022'!C31</f>
        <v>6188</v>
      </c>
      <c r="E4" s="146"/>
      <c r="F4" s="43"/>
      <c r="G4" s="43"/>
      <c r="H4" s="43"/>
      <c r="I4" s="43"/>
      <c r="J4" s="43"/>
      <c r="K4" s="43"/>
      <c r="L4" s="43"/>
      <c r="M4" s="43"/>
      <c r="N4" s="43"/>
      <c r="O4" s="43"/>
      <c r="P4" s="43"/>
      <c r="Q4" s="43"/>
      <c r="R4" s="43"/>
      <c r="S4" s="43"/>
      <c r="T4" s="43"/>
      <c r="U4" s="43"/>
      <c r="V4" s="43"/>
      <c r="W4" s="43"/>
      <c r="X4" s="43"/>
      <c r="Y4" s="43"/>
    </row>
    <row r="5">
      <c r="A5" s="138"/>
      <c r="B5" s="49"/>
      <c r="C5" s="144" t="s">
        <v>185</v>
      </c>
      <c r="D5" s="145">
        <f>D3-D4</f>
        <v>1848725</v>
      </c>
      <c r="E5" s="146"/>
      <c r="F5" s="43"/>
      <c r="G5" s="43"/>
      <c r="H5" s="43"/>
      <c r="I5" s="43"/>
      <c r="J5" s="43"/>
      <c r="K5" s="43"/>
      <c r="L5" s="43"/>
      <c r="M5" s="43"/>
      <c r="N5" s="43"/>
      <c r="O5" s="43"/>
      <c r="P5" s="43"/>
      <c r="Q5" s="43"/>
      <c r="R5" s="43"/>
      <c r="S5" s="43"/>
      <c r="T5" s="43"/>
      <c r="U5" s="43"/>
      <c r="V5" s="43"/>
      <c r="W5" s="43"/>
      <c r="X5" s="43"/>
      <c r="Y5" s="43"/>
    </row>
    <row r="6">
      <c r="A6" s="138"/>
      <c r="B6" s="49"/>
      <c r="C6" s="144" t="s">
        <v>186</v>
      </c>
      <c r="D6" s="145">
        <f>D5/12</f>
        <v>154060.4167</v>
      </c>
      <c r="E6" s="146"/>
      <c r="F6" s="43"/>
      <c r="G6" s="43"/>
      <c r="H6" s="43"/>
      <c r="I6" s="43"/>
      <c r="J6" s="43"/>
      <c r="K6" s="43"/>
      <c r="L6" s="43"/>
      <c r="M6" s="43"/>
      <c r="N6" s="43"/>
      <c r="O6" s="43"/>
      <c r="P6" s="43"/>
      <c r="Q6" s="43"/>
      <c r="R6" s="43"/>
      <c r="S6" s="43"/>
      <c r="T6" s="43"/>
      <c r="U6" s="43"/>
      <c r="V6" s="43"/>
      <c r="W6" s="43"/>
      <c r="X6" s="43"/>
      <c r="Y6" s="43"/>
    </row>
    <row r="7">
      <c r="A7" s="138"/>
      <c r="B7" s="49"/>
      <c r="C7" s="144" t="s">
        <v>187</v>
      </c>
      <c r="D7" s="75">
        <f>'Balance Sheet 2022'!E2+'Balance Sheet 2022'!E3</f>
        <v>1669879</v>
      </c>
      <c r="E7" s="146"/>
      <c r="F7" s="43"/>
      <c r="G7" s="43"/>
      <c r="H7" s="43"/>
      <c r="I7" s="43"/>
      <c r="J7" s="43"/>
      <c r="K7" s="43"/>
      <c r="L7" s="43"/>
      <c r="M7" s="43"/>
      <c r="N7" s="43"/>
      <c r="O7" s="43"/>
      <c r="P7" s="43"/>
      <c r="Q7" s="43"/>
      <c r="R7" s="43"/>
      <c r="S7" s="43"/>
      <c r="T7" s="43"/>
      <c r="U7" s="43"/>
      <c r="V7" s="43"/>
      <c r="W7" s="43"/>
      <c r="X7" s="43"/>
      <c r="Y7" s="43"/>
    </row>
    <row r="8">
      <c r="A8" s="138"/>
      <c r="B8" s="49"/>
      <c r="C8" s="147" t="s">
        <v>181</v>
      </c>
      <c r="D8" s="148">
        <f>D7/D6</f>
        <v>10.83911777</v>
      </c>
      <c r="E8" s="149" t="s">
        <v>188</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189</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190</v>
      </c>
      <c r="C11" s="144" t="s">
        <v>191</v>
      </c>
      <c r="D11" s="75">
        <f>'Balance Sheet 2022'!E30</f>
        <v>1059256</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192</v>
      </c>
      <c r="D12" s="75">
        <f>'Expenses 2022'!C40</f>
        <v>1854913</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193</v>
      </c>
      <c r="D13" s="145">
        <f>D12/12</f>
        <v>154576.0833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189</v>
      </c>
      <c r="D14" s="148">
        <f>D11/D13</f>
        <v>6.85265131</v>
      </c>
      <c r="E14" s="149" t="s">
        <v>188</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194</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195</v>
      </c>
      <c r="C17" s="144" t="s">
        <v>196</v>
      </c>
      <c r="D17" s="75">
        <f>sum('Balance Sheet 2022'!E13:E15)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192</v>
      </c>
      <c r="D18" s="75">
        <f>'Expenses 2022'!C40</f>
        <v>1854913</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193</v>
      </c>
      <c r="D19" s="145">
        <f>D18/12</f>
        <v>154576.0833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197</v>
      </c>
      <c r="D20" s="148">
        <f>D17/D19</f>
        <v>0</v>
      </c>
      <c r="E20" s="149" t="s">
        <v>188</v>
      </c>
      <c r="F20" s="43"/>
      <c r="G20" s="43"/>
      <c r="H20" s="43"/>
      <c r="I20" s="43"/>
      <c r="J20" s="43"/>
      <c r="K20" s="43"/>
      <c r="L20" s="43"/>
      <c r="M20" s="43"/>
      <c r="N20" s="43"/>
      <c r="O20" s="43"/>
      <c r="P20" s="43"/>
      <c r="Q20" s="43"/>
      <c r="R20" s="43"/>
      <c r="S20" s="43"/>
      <c r="T20" s="43"/>
      <c r="U20" s="43"/>
      <c r="V20" s="43"/>
      <c r="W20" s="43"/>
      <c r="X20" s="43"/>
      <c r="Y20" s="43"/>
    </row>
    <row r="21">
      <c r="A21" s="138"/>
      <c r="B21" s="49"/>
      <c r="C21" s="153" t="s">
        <v>198</v>
      </c>
      <c r="D21" s="154">
        <f>D20+D8</f>
        <v>10.83911777</v>
      </c>
      <c r="E21" s="155" t="s">
        <v>188</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199</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200</v>
      </c>
      <c r="C24" s="159"/>
      <c r="D24" s="160">
        <f>max('Revenues 2022'!E2:E7,'Revenues 2022'!F10:F15)</f>
        <v>1866584</v>
      </c>
      <c r="E24" s="161" t="s">
        <v>201</v>
      </c>
      <c r="F24" s="43"/>
      <c r="G24" s="43"/>
      <c r="H24" s="43"/>
      <c r="I24" s="43"/>
      <c r="J24" s="43"/>
      <c r="K24" s="43"/>
      <c r="L24" s="43"/>
      <c r="M24" s="43"/>
      <c r="N24" s="43"/>
      <c r="O24" s="43"/>
      <c r="P24" s="43"/>
      <c r="Q24" s="43"/>
      <c r="R24" s="43"/>
      <c r="S24" s="43"/>
      <c r="T24" s="43"/>
      <c r="U24" s="43"/>
      <c r="V24" s="43"/>
      <c r="W24" s="43"/>
      <c r="X24" s="43"/>
      <c r="Y24" s="43"/>
    </row>
    <row r="25">
      <c r="A25" s="138"/>
      <c r="B25" s="49"/>
      <c r="C25" s="144" t="s">
        <v>202</v>
      </c>
      <c r="D25" s="145">
        <f>'Revenues 2022'!F44</f>
        <v>2375544</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199</v>
      </c>
      <c r="D26" s="162">
        <f>D24/D25</f>
        <v>0.7857501271</v>
      </c>
      <c r="E26" s="149" t="s">
        <v>203</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204</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205</v>
      </c>
      <c r="C29" s="144" t="s">
        <v>206</v>
      </c>
      <c r="D29" s="75">
        <f>SUM('Expenses 2022'!C7:C9)</f>
        <v>927875</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207</v>
      </c>
      <c r="D30" s="75">
        <f>SUM('Expenses 2022'!C10:C12)</f>
        <v>209945</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208</v>
      </c>
      <c r="D31" s="75">
        <f>sum(D29:D30)</f>
        <v>1137820</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183</v>
      </c>
      <c r="D32" s="75">
        <f>'Expenses 2022'!C40</f>
        <v>1854913</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209</v>
      </c>
      <c r="D33" s="162">
        <f>D31/D32</f>
        <v>0.6134088229</v>
      </c>
      <c r="E33" s="149" t="s">
        <v>210</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211</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212</v>
      </c>
      <c r="C36" s="144" t="s">
        <v>213</v>
      </c>
      <c r="D36" s="75">
        <f>SUM('Expenses 2022'!C10:C11)</f>
        <v>129820</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206</v>
      </c>
      <c r="D37" s="75">
        <f>SUM('Expenses 2022'!C7:C9)</f>
        <v>927875</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211</v>
      </c>
      <c r="D38" s="162">
        <f>D36/D37</f>
        <v>0.1399110872</v>
      </c>
      <c r="E38" s="149" t="s">
        <v>214</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215</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216</v>
      </c>
      <c r="C41" s="147" t="s">
        <v>217</v>
      </c>
      <c r="D41" s="75">
        <f>'Expenses 2022'!D40</f>
        <v>1312784</v>
      </c>
      <c r="E41" s="164">
        <f t="shared" ref="E41:E44" si="1">D41/$D$44</f>
        <v>0.7077334624</v>
      </c>
      <c r="F41" s="43"/>
      <c r="G41" s="43"/>
      <c r="H41" s="43"/>
      <c r="I41" s="43"/>
      <c r="J41" s="43"/>
      <c r="K41" s="43"/>
      <c r="L41" s="43"/>
      <c r="M41" s="43"/>
      <c r="N41" s="43"/>
      <c r="O41" s="43"/>
      <c r="P41" s="43"/>
      <c r="Q41" s="43"/>
      <c r="R41" s="43"/>
      <c r="S41" s="43"/>
      <c r="T41" s="43"/>
      <c r="U41" s="43"/>
      <c r="V41" s="43"/>
      <c r="W41" s="43"/>
      <c r="X41" s="43"/>
      <c r="Y41" s="43"/>
    </row>
    <row r="42">
      <c r="A42" s="138"/>
      <c r="B42" s="49"/>
      <c r="C42" s="147" t="s">
        <v>218</v>
      </c>
      <c r="D42" s="145">
        <f>'Expenses 2022'!E40</f>
        <v>361431</v>
      </c>
      <c r="E42" s="164">
        <f t="shared" si="1"/>
        <v>0.194850648</v>
      </c>
      <c r="F42" s="43"/>
      <c r="G42" s="43"/>
      <c r="H42" s="43"/>
      <c r="I42" s="43"/>
      <c r="J42" s="43"/>
      <c r="K42" s="43"/>
      <c r="L42" s="43"/>
      <c r="M42" s="43"/>
      <c r="N42" s="43"/>
      <c r="O42" s="43"/>
      <c r="P42" s="43"/>
      <c r="Q42" s="43"/>
      <c r="R42" s="43"/>
      <c r="S42" s="43"/>
      <c r="T42" s="43"/>
      <c r="U42" s="43"/>
      <c r="V42" s="43"/>
      <c r="W42" s="43"/>
      <c r="X42" s="43"/>
      <c r="Y42" s="43"/>
    </row>
    <row r="43">
      <c r="A43" s="138"/>
      <c r="B43" s="49"/>
      <c r="C43" s="147" t="s">
        <v>219</v>
      </c>
      <c r="D43" s="145">
        <f>'Expenses 2022'!F40</f>
        <v>180698</v>
      </c>
      <c r="E43" s="164">
        <f t="shared" si="1"/>
        <v>0.09741588959</v>
      </c>
      <c r="F43" s="43"/>
      <c r="G43" s="43"/>
      <c r="H43" s="43"/>
      <c r="I43" s="43"/>
      <c r="J43" s="43"/>
      <c r="K43" s="43"/>
      <c r="L43" s="43"/>
      <c r="M43" s="43"/>
      <c r="N43" s="43"/>
      <c r="O43" s="43"/>
      <c r="P43" s="43"/>
      <c r="Q43" s="43"/>
      <c r="R43" s="43"/>
      <c r="S43" s="43"/>
      <c r="T43" s="43"/>
      <c r="U43" s="43"/>
      <c r="V43" s="43"/>
      <c r="W43" s="43"/>
      <c r="X43" s="43"/>
      <c r="Y43" s="43"/>
    </row>
    <row r="44">
      <c r="A44" s="138"/>
      <c r="B44" s="49"/>
      <c r="C44" s="144" t="s">
        <v>183</v>
      </c>
      <c r="D44" s="145">
        <f>sum(D41:D43)</f>
        <v>1854913</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220</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221</v>
      </c>
      <c r="C47" s="144" t="s">
        <v>222</v>
      </c>
      <c r="D47" s="145">
        <f>'Revenues 2022'!F9</f>
        <v>2332756</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223</v>
      </c>
      <c r="D48" s="145">
        <f>'Expenses 2022'!F40</f>
        <v>180698</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224</v>
      </c>
      <c r="D49" s="165">
        <f>if(D48=0, "$0",D47/D48)</f>
        <v>12.90969463</v>
      </c>
      <c r="E49" s="149" t="s">
        <v>225</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226</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227</v>
      </c>
      <c r="C52" s="144" t="s">
        <v>228</v>
      </c>
      <c r="D52" s="145">
        <f>sum('Balance Sheet 2022'!E2:E10)</f>
        <v>2214842</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229</v>
      </c>
      <c r="D53" s="145">
        <f>sum('Balance Sheet 2022'!E19:E22)</f>
        <v>286033</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230</v>
      </c>
      <c r="D54" s="167">
        <f>D52/D53</f>
        <v>7.743309338</v>
      </c>
      <c r="E54" s="149" t="s">
        <v>231</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232</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233</v>
      </c>
      <c r="C57" s="144" t="s">
        <v>234</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235</v>
      </c>
      <c r="D58" s="145">
        <f>'Balance Sheet 2022'!E18</f>
        <v>2529414</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236</v>
      </c>
      <c r="D59" s="168">
        <f>D57/D58</f>
        <v>0</v>
      </c>
      <c r="E59" s="149" t="s">
        <v>237</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PUGET SOUND SAGE</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75000.0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847169.0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922169</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29212.0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238</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96</v>
      </c>
      <c r="D39" s="74"/>
      <c r="E39" s="48">
        <v>28300.0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28300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979681</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PUGET SOUND SAGE</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248960</v>
      </c>
      <c r="D3" s="99">
        <v>248960.0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794485</v>
      </c>
      <c r="D9" s="99">
        <v>501758.0</v>
      </c>
      <c r="E9" s="99">
        <v>182681.0</v>
      </c>
      <c r="F9" s="99">
        <v>110046.0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47240</v>
      </c>
      <c r="D10" s="99">
        <v>30877.0</v>
      </c>
      <c r="E10" s="99">
        <v>9628.0</v>
      </c>
      <c r="F10" s="99">
        <v>6735.0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86916</v>
      </c>
      <c r="D11" s="99">
        <v>41388.0</v>
      </c>
      <c r="E11" s="99">
        <v>37397.0</v>
      </c>
      <c r="F11" s="99">
        <v>8131.0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67226</v>
      </c>
      <c r="D12" s="99">
        <v>43801.0</v>
      </c>
      <c r="E12" s="99">
        <v>13776.0</v>
      </c>
      <c r="F12" s="99">
        <v>9649.0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465</v>
      </c>
      <c r="D15" s="99">
        <v>0.0</v>
      </c>
      <c r="E15" s="99">
        <v>465.0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36308</v>
      </c>
      <c r="D16" s="99">
        <v>0.0</v>
      </c>
      <c r="E16" s="99">
        <v>36308.0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70116</v>
      </c>
      <c r="D20" s="99">
        <v>57685.0</v>
      </c>
      <c r="E20" s="99">
        <v>0.0</v>
      </c>
      <c r="F20" s="99">
        <v>12431.0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8484</v>
      </c>
      <c r="D22" s="99">
        <v>1420.0</v>
      </c>
      <c r="E22" s="99">
        <v>4208.0</v>
      </c>
      <c r="F22" s="99">
        <v>2856.0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36224</v>
      </c>
      <c r="D23" s="99">
        <v>20114.0</v>
      </c>
      <c r="E23" s="99">
        <v>5571.0</v>
      </c>
      <c r="F23" s="99">
        <v>10539.0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28479</v>
      </c>
      <c r="D25" s="99">
        <v>18548.0</v>
      </c>
      <c r="E25" s="99">
        <v>6894.0</v>
      </c>
      <c r="F25" s="99">
        <v>3037.0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11585</v>
      </c>
      <c r="D26" s="99">
        <v>10562.0</v>
      </c>
      <c r="E26" s="99">
        <v>130.0</v>
      </c>
      <c r="F26" s="99">
        <v>893.0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4904</v>
      </c>
      <c r="D28" s="99">
        <v>3130.0</v>
      </c>
      <c r="E28" s="99">
        <v>1049.0</v>
      </c>
      <c r="F28" s="99">
        <v>725.0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6188</v>
      </c>
      <c r="D31" s="99">
        <v>0.0</v>
      </c>
      <c r="E31" s="99">
        <v>6188.0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2855</v>
      </c>
      <c r="D32" s="99">
        <v>1531.0</v>
      </c>
      <c r="E32" s="99">
        <v>1065.0</v>
      </c>
      <c r="F32" s="99">
        <v>259.0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135</v>
      </c>
      <c r="C34" s="98">
        <f t="shared" si="1"/>
        <v>6881</v>
      </c>
      <c r="D34" s="99">
        <v>967.0</v>
      </c>
      <c r="E34" s="99">
        <v>4857.0</v>
      </c>
      <c r="F34" s="99">
        <v>1057.0</v>
      </c>
      <c r="G34" s="43"/>
      <c r="H34" s="43"/>
      <c r="I34" s="43"/>
      <c r="J34" s="43"/>
      <c r="K34" s="43"/>
      <c r="L34" s="43"/>
      <c r="M34" s="43"/>
      <c r="N34" s="43"/>
      <c r="O34" s="43"/>
      <c r="P34" s="43"/>
      <c r="Q34" s="43"/>
      <c r="R34" s="43"/>
      <c r="S34" s="43"/>
      <c r="T34" s="43"/>
      <c r="U34" s="43"/>
      <c r="V34" s="43"/>
      <c r="W34" s="43"/>
      <c r="X34" s="43"/>
      <c r="Y34" s="43"/>
      <c r="Z34" s="43"/>
    </row>
    <row r="35">
      <c r="A35" s="45" t="s">
        <v>48</v>
      </c>
      <c r="B35" s="102" t="s">
        <v>136</v>
      </c>
      <c r="C35" s="98">
        <f t="shared" si="1"/>
        <v>4269</v>
      </c>
      <c r="D35" s="99">
        <v>2443.0</v>
      </c>
      <c r="E35" s="99">
        <v>1410.0</v>
      </c>
      <c r="F35" s="99">
        <v>416.0</v>
      </c>
      <c r="G35" s="43"/>
      <c r="H35" s="43"/>
      <c r="I35" s="43"/>
      <c r="J35" s="43"/>
      <c r="K35" s="43"/>
      <c r="L35" s="43"/>
      <c r="M35" s="43"/>
      <c r="N35" s="43"/>
      <c r="O35" s="43"/>
      <c r="P35" s="43"/>
      <c r="Q35" s="43"/>
      <c r="R35" s="43"/>
      <c r="S35" s="43"/>
      <c r="T35" s="43"/>
      <c r="U35" s="43"/>
      <c r="V35" s="43"/>
      <c r="W35" s="43"/>
      <c r="X35" s="43"/>
      <c r="Y35" s="43"/>
      <c r="Z35" s="43"/>
    </row>
    <row r="36">
      <c r="A36" s="45" t="s">
        <v>50</v>
      </c>
      <c r="B36" s="102" t="s">
        <v>239</v>
      </c>
      <c r="C36" s="98">
        <f t="shared" si="1"/>
        <v>3015</v>
      </c>
      <c r="D36" s="99">
        <v>2935.0</v>
      </c>
      <c r="E36" s="99">
        <v>80.0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240</v>
      </c>
      <c r="C37" s="98">
        <f t="shared" si="1"/>
        <v>2254</v>
      </c>
      <c r="D37" s="99">
        <v>1465.0</v>
      </c>
      <c r="E37" s="99">
        <v>541.0</v>
      </c>
      <c r="F37" s="99">
        <v>248.0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5155</v>
      </c>
      <c r="D38" s="99">
        <v>2075.0</v>
      </c>
      <c r="E38" s="99">
        <v>1443.0</v>
      </c>
      <c r="F38" s="99">
        <v>1637.0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3">
        <f t="shared" ref="C40:F40" si="2">sum(C3:C39)</f>
        <v>1472009</v>
      </c>
      <c r="D40" s="103">
        <f t="shared" si="2"/>
        <v>989659</v>
      </c>
      <c r="E40" s="103">
        <f t="shared" si="2"/>
        <v>313691</v>
      </c>
      <c r="F40" s="103">
        <f t="shared" si="2"/>
        <v>168659</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PUGET SOUND SAGE</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140</v>
      </c>
      <c r="B2" s="45">
        <v>1.0</v>
      </c>
      <c r="C2" s="46" t="s">
        <v>141</v>
      </c>
      <c r="D2" s="110"/>
      <c r="E2" s="111">
        <v>0.0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2"/>
      <c r="E3" s="111">
        <v>981820.0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0"/>
      <c r="E4" s="111">
        <v>364385.0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2"/>
      <c r="E5" s="111">
        <v>112020.0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0"/>
      <c r="E10" s="111">
        <v>17590.0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1">
        <v>32073.0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1">
        <v>22999.0</v>
      </c>
      <c r="E12" s="108">
        <f>D11-D12</f>
        <v>9074</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2"/>
      <c r="E13" s="111">
        <v>417687.0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2"/>
      <c r="E17" s="111">
        <v>49974.0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3"/>
      <c r="E18" s="114">
        <f>sum(E2:E17)</f>
        <v>1952550</v>
      </c>
      <c r="F18" s="43"/>
      <c r="G18" s="43"/>
      <c r="H18" s="43"/>
      <c r="I18" s="43"/>
      <c r="J18" s="43"/>
      <c r="K18" s="43"/>
      <c r="L18" s="43"/>
      <c r="M18" s="43"/>
      <c r="N18" s="43"/>
      <c r="O18" s="43"/>
      <c r="P18" s="43"/>
      <c r="Q18" s="43"/>
      <c r="R18" s="43"/>
      <c r="S18" s="43"/>
      <c r="T18" s="43"/>
      <c r="U18" s="43"/>
      <c r="V18" s="43"/>
      <c r="W18" s="43"/>
      <c r="X18" s="43"/>
      <c r="Y18" s="43"/>
      <c r="Z18" s="43"/>
    </row>
    <row r="19">
      <c r="A19" s="44" t="s">
        <v>160</v>
      </c>
      <c r="B19" s="115">
        <v>17.0</v>
      </c>
      <c r="C19" s="116" t="s">
        <v>161</v>
      </c>
      <c r="D19" s="117"/>
      <c r="E19" s="111">
        <v>212031.0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162</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163</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164</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165</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166</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167</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168</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169</v>
      </c>
      <c r="D27" s="117"/>
      <c r="E27" s="118">
        <v>16128.0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170</v>
      </c>
      <c r="D28" s="125"/>
      <c r="E28" s="126">
        <f>sum(E19:E27)</f>
        <v>228159</v>
      </c>
      <c r="F28" s="43"/>
      <c r="G28" s="43"/>
      <c r="H28" s="43"/>
      <c r="I28" s="43"/>
      <c r="J28" s="43"/>
      <c r="K28" s="43"/>
      <c r="L28" s="43"/>
      <c r="M28" s="43"/>
      <c r="N28" s="43"/>
      <c r="O28" s="43"/>
      <c r="P28" s="43"/>
      <c r="Q28" s="43"/>
      <c r="R28" s="43"/>
      <c r="S28" s="43"/>
      <c r="T28" s="43"/>
      <c r="U28" s="43"/>
      <c r="V28" s="43"/>
      <c r="W28" s="43"/>
      <c r="X28" s="43"/>
      <c r="Y28" s="43"/>
      <c r="Z28" s="43"/>
    </row>
    <row r="29">
      <c r="A29" s="65" t="s">
        <v>171</v>
      </c>
      <c r="B29" s="127"/>
      <c r="C29" s="128" t="s">
        <v>172</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173</v>
      </c>
      <c r="D30" s="117"/>
      <c r="E30" s="111">
        <v>977492.0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174</v>
      </c>
      <c r="D31" s="117"/>
      <c r="E31" s="111">
        <v>746899.0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175</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176</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177</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178</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179</v>
      </c>
      <c r="D36" s="131"/>
      <c r="E36" s="126">
        <f>sum(E30:E35)</f>
        <v>1724391</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180</v>
      </c>
      <c r="D37" s="135"/>
      <c r="E37" s="136">
        <f>E36+E28</f>
        <v>1952550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