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<sst xmlns="http://schemas.openxmlformats.org/spreadsheetml/2006/main" count="869" uniqueCount="250">
  <si>
    <t>TRI-COUNTIES REGIONAL CENTER</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</si>
  <si>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</si>
  <si>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</si>
  <si>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</si>
  <si>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</si>
  <si>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</si>
  <si>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</si>
  <si>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</si>
  <si>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</si>
  <si>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</si>
  <si>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</si>
  <si>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</si>
  <si>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</si>
  <si>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</si>
  <si>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</si>
  <si>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</si>
  <si>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</si>
  <si>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</si>
  <si>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</si>
  <si>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</si>
  <si>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</si>
  <si>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</si>
  <si>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</si>
  <si>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</si>
  <si>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</si>
  <si>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</si>
  <si>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</si>
  <si>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</si>
  <si>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</si>
  <si>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</si>
  <si>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</si>
  <si>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</si>
  <si>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</si>
  <si>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</si>
  <si>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</si>
  <si>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</si>
  <si>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</si>
  <si>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</si>
  <si>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</si>
  <si>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</si>
  <si>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</si>
  <si>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</si>
  <si>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</si>
  <si>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</si>
  <si>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</si>
  <si>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</si>
  <si>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</si>
  <si>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</si>
  <si>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</si>
  <si>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</si>
  <si>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</si>
  <si>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</si>
  <si>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</si>
  <si>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</si>
  <si>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</si>
  <si>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</si>
  <si>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</si>
  <si>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</si>
  <si>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</si>
  <si>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</si>
  <si>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</si>
  <si>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</si>
  <si>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</si>
  <si>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</si>
  <si>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ICF SUPPLEMENTAL SERVICES INCOME</t>
  </si>
  <si>
    <t>OTHER INCOME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</si>
  <si>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</si>
  <si>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</si>
  <si>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</si>
  <si>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</si>
  <si>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</si>
  <si>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</si>
  <si>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</si>
  <si>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</si>
  <si>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</si>
  <si>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</si>
  <si>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</si>
  <si>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</si>
  <si>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</si>
  <si>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</si>
  <si>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</si>
  <si>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</si>
  <si>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</si>
  <si>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</si>
  <si>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</si>
  <si>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</si>
  <si>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</si>
  <si>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</si>
  <si>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</si>
  <si>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</si>
  <si>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</si>
  <si>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</si>
  <si>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</si>
  <si>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</si>
  <si>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</si>
  <si>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</si>
  <si>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</si>
  <si>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</si>
  <si>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</si>
  <si>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</si>
  <si>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</si>
  <si>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</si>
  <si>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</si>
  <si>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</si>
  <si>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</si>
  <si>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</si>
  <si>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</si>
  <si>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</si>
  <si>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</si>
  <si>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</si>
  <si>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</si>
  <si>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</si>
  <si>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</si>
  <si>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</si>
  <si>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</si>
  <si>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</si>
  <si>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</si>
  <si>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</si>
  <si>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</si>
  <si>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</si>
  <si>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</si>
  <si>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</si>
  <si>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</si>
  <si>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</si>
  <si>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</si>
  <si>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</si>
  <si>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</si>
  <si>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</si>
  <si>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</si>
  <si>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</si>
  <si>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</si>
  <si>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</si>
  <si>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</si>
  <si>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</si>
  <si>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</si>
  <si>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OFFICE RELOCATION</t>
  </si>
  <si>
    <t>EQUIPMENT PURCHASES, RE</t>
  </si>
  <si>
    <t>TELEPHONE</t>
  </si>
  <si>
    <t>UTILITIES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</si>
  <si>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</si>
  <si>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</si>
  <si>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</si>
  <si>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</si>
  <si>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</si>
  <si>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</si>
  <si>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</si>
  <si>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</si>
  <si>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</si>
  <si>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</si>
  <si>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</si>
  <si>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</si>
  <si>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</si>
  <si>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</si>
  <si>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</si>
  <si>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</si>
  <si>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</si>
  <si>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</si>
  <si>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</si>
  <si>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</si>
  <si>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</si>
  <si>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</si>
  <si>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</si>
  <si>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</si>
  <si>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</si>
  <si>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</si>
  <si>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</si>
  <si>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</si>
  <si>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</si>
  <si>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</si>
  <si>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</si>
  <si>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</si>
  <si>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</si>
  <si>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</si>
  <si>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</si>
  <si>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</si>
  <si>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</si>
  <si>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</si>
  <si>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</si>
  <si>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</si>
  <si>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</si>
  <si>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</si>
  <si>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</si>
  <si>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</si>
  <si>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</si>
  <si>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</si>
  <si>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</si>
  <si>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</si>
  <si>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</si>
  <si>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</si>
  <si>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</si>
  <si>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</si>
  <si>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</si>
  <si>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</si>
  <si>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</si>
  <si>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</si>
  <si>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</si>
  <si>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</si>
  <si>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</si>
  <si>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</si>
  <si>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</si>
  <si>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</si>
  <si>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</si>
  <si>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</si>
  <si>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</si>
  <si>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</si>
  <si>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</si>
  <si>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</si>
  <si>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</si>
  <si>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</si>
  <si>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</si>
  <si>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</si>
  <si>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</si>
  <si>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</si>
  <si>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</si>
  <si>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</si>
  <si>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</si>
  <si>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</si>
  <si>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</si>
  <si>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</si>
  <si>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</si>
  <si>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</si>
  <si>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</si>
  <si>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</si>
  <si>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</si>
  <si>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</si>
  <si>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</si>
  <si>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</si>
  <si>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</si>
  <si>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</si>
  <si>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</si>
  <si>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</si>
  <si>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</si>
  <si>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</si>
  <si>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</si>
  <si>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</si>
  <si>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</si>
  <si>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</si>
  <si>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</si>
  <si>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</si>
  <si>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</si>
  <si>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TRAININGS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</si>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</sst>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0" fillId="0" fontId="2" numFmtId="0" xfId="0" applyAlignment="1" applyFont="1">
      <alignment readingOrder="0"/>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TRI-COUNTIES REGIONAL CENTER</v>
      </c>
      <c r="B1" s="2">
        <f>'Revenues 2023'!C1</f>
        <v>2023</v>
      </c>
      <c r="C1" s="139"/>
      <c r="D1" s="139"/>
      <c r="E1" s="140"/>
      <c r="F1" s="43"/>
      <c r="G1" s="43"/>
      <c r="H1" s="43"/>
      <c r="I1" s="43"/>
      <c r="J1" s="43"/>
      <c r="K1" s="43"/>
      <c r="L1" s="43"/>
      <c r="M1" s="43"/>
      <c r="N1" s="43"/>
      <c r="O1" s="43"/>
      <c r="P1" s="43"/>
      <c r="Q1" s="43"/>
      <c r="R1" s="43"/>
      <c r="S1" s="43"/>
      <c r="T1" s="43"/>
      <c r="U1" s="43"/>
      <c r="V1" s="43"/>
      <c r="W1" s="43"/>
      <c r="X1" s="43"/>
      <c r="Y1" s="43"/>
    </row>
    <row r="2">
      <c r="A2" s="141" t="s">
        <v>182</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183</v>
      </c>
      <c r="C3" s="145" t="s">
        <v>184</v>
      </c>
      <c r="D3" s="146">
        <f>'Expenses 2023'!C40</f>
        <v>544280252</v>
      </c>
      <c r="E3" s="147"/>
      <c r="F3" s="43"/>
      <c r="G3" s="43"/>
      <c r="H3" s="43"/>
      <c r="I3" s="43"/>
      <c r="J3" s="43"/>
      <c r="K3" s="43"/>
      <c r="L3" s="43"/>
      <c r="M3" s="43"/>
      <c r="N3" s="43"/>
      <c r="O3" s="43"/>
      <c r="P3" s="43"/>
      <c r="Q3" s="43"/>
      <c r="R3" s="43"/>
      <c r="S3" s="43"/>
      <c r="T3" s="43"/>
      <c r="U3" s="43"/>
      <c r="V3" s="43"/>
      <c r="W3" s="43"/>
      <c r="X3" s="43"/>
      <c r="Y3" s="43"/>
    </row>
    <row r="4">
      <c r="A4" s="139"/>
      <c r="B4" s="49"/>
      <c r="C4" s="145" t="s">
        <v>185</v>
      </c>
      <c r="D4" s="146">
        <f>'Expenses 2023'!C31</f>
        <v>0</v>
      </c>
      <c r="E4" s="147"/>
      <c r="F4" s="43"/>
      <c r="G4" s="43"/>
      <c r="H4" s="43"/>
      <c r="I4" s="43"/>
      <c r="J4" s="43"/>
      <c r="K4" s="43"/>
      <c r="L4" s="43"/>
      <c r="M4" s="43"/>
      <c r="N4" s="43"/>
      <c r="O4" s="43"/>
      <c r="P4" s="43"/>
      <c r="Q4" s="43"/>
      <c r="R4" s="43"/>
      <c r="S4" s="43"/>
      <c r="T4" s="43"/>
      <c r="U4" s="43"/>
      <c r="V4" s="43"/>
      <c r="W4" s="43"/>
      <c r="X4" s="43"/>
      <c r="Y4" s="43"/>
    </row>
    <row r="5">
      <c r="A5" s="139"/>
      <c r="B5" s="49"/>
      <c r="C5" s="145" t="s">
        <v>186</v>
      </c>
      <c r="D5" s="146">
        <f>D3-D4</f>
        <v>544280252</v>
      </c>
      <c r="E5" s="147"/>
      <c r="F5" s="43"/>
      <c r="G5" s="43"/>
      <c r="H5" s="43"/>
      <c r="I5" s="43"/>
      <c r="J5" s="43"/>
      <c r="K5" s="43"/>
      <c r="L5" s="43"/>
      <c r="M5" s="43"/>
      <c r="N5" s="43"/>
      <c r="O5" s="43"/>
      <c r="P5" s="43"/>
      <c r="Q5" s="43"/>
      <c r="R5" s="43"/>
      <c r="S5" s="43"/>
      <c r="T5" s="43"/>
      <c r="U5" s="43"/>
      <c r="V5" s="43"/>
      <c r="W5" s="43"/>
      <c r="X5" s="43"/>
      <c r="Y5" s="43"/>
    </row>
    <row r="6">
      <c r="A6" s="139"/>
      <c r="B6" s="49"/>
      <c r="C6" s="145" t="s">
        <v>187</v>
      </c>
      <c r="D6" s="146">
        <f>D5/12</f>
        <v>45356687.67</v>
      </c>
      <c r="E6" s="147"/>
      <c r="F6" s="43"/>
      <c r="G6" s="43"/>
      <c r="H6" s="43"/>
      <c r="I6" s="43"/>
      <c r="J6" s="43"/>
      <c r="K6" s="43"/>
      <c r="L6" s="43"/>
      <c r="M6" s="43"/>
      <c r="N6" s="43"/>
      <c r="O6" s="43"/>
      <c r="P6" s="43"/>
      <c r="Q6" s="43"/>
      <c r="R6" s="43"/>
      <c r="S6" s="43"/>
      <c r="T6" s="43"/>
      <c r="U6" s="43"/>
      <c r="V6" s="43"/>
      <c r="W6" s="43"/>
      <c r="X6" s="43"/>
      <c r="Y6" s="43"/>
    </row>
    <row r="7">
      <c r="A7" s="139"/>
      <c r="B7" s="49"/>
      <c r="C7" s="145" t="s">
        <v>188</v>
      </c>
      <c r="D7" s="75">
        <f>'Balance Sheet 2023'!E2+'Balance Sheet 2023'!E3</f>
        <v>12753472</v>
      </c>
      <c r="E7" s="147"/>
      <c r="F7" s="43"/>
      <c r="G7" s="43"/>
      <c r="H7" s="43"/>
      <c r="I7" s="43"/>
      <c r="J7" s="43"/>
      <c r="K7" s="43"/>
      <c r="L7" s="43"/>
      <c r="M7" s="43"/>
      <c r="N7" s="43"/>
      <c r="O7" s="43"/>
      <c r="P7" s="43"/>
      <c r="Q7" s="43"/>
      <c r="R7" s="43"/>
      <c r="S7" s="43"/>
      <c r="T7" s="43"/>
      <c r="U7" s="43"/>
      <c r="V7" s="43"/>
      <c r="W7" s="43"/>
      <c r="X7" s="43"/>
      <c r="Y7" s="43"/>
    </row>
    <row r="8">
      <c r="A8" s="139"/>
      <c r="B8" s="49"/>
      <c r="C8" s="148" t="s">
        <v>182</v>
      </c>
      <c r="D8" s="149">
        <f>D7/D6</f>
        <v>0.2811817321</v>
      </c>
      <c r="E8" s="150" t="s">
        <v>189</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190</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191</v>
      </c>
      <c r="C11" s="145" t="s">
        <v>192</v>
      </c>
      <c r="D11" s="75">
        <f>'Balance Sheet 2023'!E30</f>
        <v>-17393827</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193</v>
      </c>
      <c r="D12" s="75">
        <f>'Expenses 2023'!C40</f>
        <v>544280252</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194</v>
      </c>
      <c r="D13" s="146">
        <f>D12/12</f>
        <v>45356687.67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190</v>
      </c>
      <c r="D14" s="149">
        <f>D11/D13</f>
        <v>-0.3834897982</v>
      </c>
      <c r="E14" s="150" t="s">
        <v>189</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195</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196</v>
      </c>
      <c r="C17" s="145" t="s">
        <v>197</v>
      </c>
      <c r="D17" s="75">
        <f>sum('Balance Sheet 2023'!E13:E15)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193</v>
      </c>
      <c r="D18" s="75">
        <f>'Expenses 2023'!C40</f>
        <v>544280252</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194</v>
      </c>
      <c r="D19" s="146">
        <f>D18/12</f>
        <v>45356687.67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198</v>
      </c>
      <c r="D20" s="149">
        <f>D17/D19</f>
        <v>0</v>
      </c>
      <c r="E20" s="150" t="s">
        <v>189</v>
      </c>
      <c r="F20" s="43"/>
      <c r="G20" s="43"/>
      <c r="H20" s="43"/>
      <c r="I20" s="43"/>
      <c r="J20" s="43"/>
      <c r="K20" s="43"/>
      <c r="L20" s="43"/>
      <c r="M20" s="43"/>
      <c r="N20" s="43"/>
      <c r="O20" s="43"/>
      <c r="P20" s="43"/>
      <c r="Q20" s="43"/>
      <c r="R20" s="43"/>
      <c r="S20" s="43"/>
      <c r="T20" s="43"/>
      <c r="U20" s="43"/>
      <c r="V20" s="43"/>
      <c r="W20" s="43"/>
      <c r="X20" s="43"/>
      <c r="Y20" s="43"/>
    </row>
    <row r="21">
      <c r="A21" s="139"/>
      <c r="B21" s="49"/>
      <c r="C21" s="154" t="s">
        <v>199</v>
      </c>
      <c r="D21" s="155">
        <f>D20+D8</f>
        <v>0.2811817321</v>
      </c>
      <c r="E21" s="156" t="s">
        <v>189</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200</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201</v>
      </c>
      <c r="C24" s="160"/>
      <c r="D24" s="161">
        <f>max('Revenues 2023'!E2:E7,'Revenues 2023'!F10:F15)</f>
        <v>532610413</v>
      </c>
      <c r="E24" s="162" t="s">
        <v>202</v>
      </c>
      <c r="F24" s="43"/>
      <c r="G24" s="43"/>
      <c r="H24" s="43"/>
      <c r="I24" s="43"/>
      <c r="J24" s="43"/>
      <c r="K24" s="43"/>
      <c r="L24" s="43"/>
      <c r="M24" s="43"/>
      <c r="N24" s="43"/>
      <c r="O24" s="43"/>
      <c r="P24" s="43"/>
      <c r="Q24" s="43"/>
      <c r="R24" s="43"/>
      <c r="S24" s="43"/>
      <c r="T24" s="43"/>
      <c r="U24" s="43"/>
      <c r="V24" s="43"/>
      <c r="W24" s="43"/>
      <c r="X24" s="43"/>
      <c r="Y24" s="43"/>
    </row>
    <row r="25">
      <c r="A25" s="139"/>
      <c r="B25" s="49"/>
      <c r="C25" s="145" t="s">
        <v>203</v>
      </c>
      <c r="D25" s="146">
        <f>'Revenues 2023'!F44</f>
        <v>544270530</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200</v>
      </c>
      <c r="D26" s="163">
        <f>D24/D25</f>
        <v>0.9785766152</v>
      </c>
      <c r="E26" s="150" t="s">
        <v>204</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205</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206</v>
      </c>
      <c r="C29" s="145" t="s">
        <v>207</v>
      </c>
      <c r="D29" s="75">
        <f>SUM('Expenses 2023'!C7:C9)</f>
        <v>37628163</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208</v>
      </c>
      <c r="D30" s="75">
        <f>SUM('Expenses 2023'!C10:C12)</f>
        <v>11918395</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209</v>
      </c>
      <c r="D31" s="75">
        <f>sum(D29:D30)</f>
        <v>49546558</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184</v>
      </c>
      <c r="D32" s="75">
        <f>'Expenses 2023'!C40</f>
        <v>544280252</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210</v>
      </c>
      <c r="D33" s="163">
        <f>D31/D32</f>
        <v>0.09103133509</v>
      </c>
      <c r="E33" s="150" t="s">
        <v>211</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212</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213</v>
      </c>
      <c r="C36" s="145" t="s">
        <v>214</v>
      </c>
      <c r="D36" s="75">
        <f>SUM('Expenses 2023'!C10:C11)</f>
        <v>11399863</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207</v>
      </c>
      <c r="D37" s="75">
        <f>SUM('Expenses 2023'!C7:C9)</f>
        <v>37628163</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212</v>
      </c>
      <c r="D38" s="163">
        <f>D36/D37</f>
        <v>0.3029609232</v>
      </c>
      <c r="E38" s="150" t="s">
        <v>215</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216</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217</v>
      </c>
      <c r="C41" s="148" t="s">
        <v>241</v>
      </c>
      <c r="D41" s="75">
        <f>'Expenses 2023'!D40</f>
        <v>539526122</v>
      </c>
      <c r="E41" s="165">
        <f t="shared" ref="E41:E44" si="1">D41/$D$44</f>
        <v>0.9912652903</v>
      </c>
      <c r="F41" s="43"/>
      <c r="G41" s="43"/>
      <c r="H41" s="43"/>
      <c r="I41" s="43"/>
      <c r="J41" s="43"/>
      <c r="K41" s="43"/>
      <c r="L41" s="43"/>
      <c r="M41" s="43"/>
      <c r="N41" s="43"/>
      <c r="O41" s="43"/>
      <c r="P41" s="43"/>
      <c r="Q41" s="43"/>
      <c r="R41" s="43"/>
      <c r="S41" s="43"/>
      <c r="T41" s="43"/>
      <c r="U41" s="43"/>
      <c r="V41" s="43"/>
      <c r="W41" s="43"/>
      <c r="X41" s="43"/>
      <c r="Y41" s="43"/>
    </row>
    <row r="42">
      <c r="A42" s="139"/>
      <c r="B42" s="49"/>
      <c r="C42" s="148" t="s">
        <v>219</v>
      </c>
      <c r="D42" s="146">
        <f>'Expenses 2023'!E40</f>
        <v>4754130</v>
      </c>
      <c r="E42" s="165">
        <f t="shared" si="1"/>
        <v>0.008734709706</v>
      </c>
      <c r="F42" s="43"/>
      <c r="G42" s="43"/>
      <c r="H42" s="43"/>
      <c r="I42" s="43"/>
      <c r="J42" s="43"/>
      <c r="K42" s="43"/>
      <c r="L42" s="43"/>
      <c r="M42" s="43"/>
      <c r="N42" s="43"/>
      <c r="O42" s="43"/>
      <c r="P42" s="43"/>
      <c r="Q42" s="43"/>
      <c r="R42" s="43"/>
      <c r="S42" s="43"/>
      <c r="T42" s="43"/>
      <c r="U42" s="43"/>
      <c r="V42" s="43"/>
      <c r="W42" s="43"/>
      <c r="X42" s="43"/>
      <c r="Y42" s="43"/>
    </row>
    <row r="43">
      <c r="A43" s="139"/>
      <c r="B43" s="49"/>
      <c r="C43" s="148" t="s">
        <v>220</v>
      </c>
      <c r="D43" s="146">
        <f>'Expenses 2023'!F40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184</v>
      </c>
      <c r="D44" s="146">
        <f>sum(D41:D43)</f>
        <v>544280252</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221</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222</v>
      </c>
      <c r="C47" s="145" t="s">
        <v>223</v>
      </c>
      <c r="D47" s="146">
        <f>'Revenues 2023'!F9</f>
        <v>532629954</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224</v>
      </c>
      <c r="D48" s="146">
        <f>'Expenses 2023'!F40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225</v>
      </c>
      <c r="D49" s="166" t="str">
        <f>if(D48=0, "$0",D47/D48)</f>
        <v>$0</v>
      </c>
      <c r="E49" s="150" t="s">
        <v>226</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227</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228</v>
      </c>
      <c r="C52" s="145" t="s">
        <v>229</v>
      </c>
      <c r="D52" s="146">
        <f>sum('Balance Sheet 2023'!E2:E10)</f>
        <v>73740417</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230</v>
      </c>
      <c r="D53" s="146">
        <f>sum('Balance Sheet 2023'!E19:E22)</f>
        <v>66710216</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231</v>
      </c>
      <c r="D54" s="168">
        <f>D52/D53</f>
        <v>1.105384174</v>
      </c>
      <c r="E54" s="150" t="s">
        <v>232</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233</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234</v>
      </c>
      <c r="C57" s="145" t="s">
        <v>235</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236</v>
      </c>
      <c r="D58" s="146">
        <f>'Balance Sheet 2023'!E18</f>
        <v>88512580</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237</v>
      </c>
      <c r="D59" s="169">
        <f>D57/D58</f>
        <v>0</v>
      </c>
      <c r="E59" s="150" t="s">
        <v>238</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TRI-COUNTIES REGIONAL CENTER</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6.43470102E8</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23181.0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643493283</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1.4743397E7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14743397</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798898.0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242</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659035578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TRI-COUNTIES REGIONAL CENTER</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580187577</v>
      </c>
      <c r="D4" s="99">
        <v>5.80187577E8</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642008</v>
      </c>
      <c r="D7" s="99">
        <v>0.0</v>
      </c>
      <c r="E7" s="99">
        <v>642008.0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44152072</v>
      </c>
      <c r="D9" s="99">
        <v>4.0996097E7</v>
      </c>
      <c r="E9" s="99">
        <v>3155975.0</v>
      </c>
      <c r="F9" s="99">
        <v>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5587515</v>
      </c>
      <c r="D10" s="99">
        <v>5207278.0</v>
      </c>
      <c r="E10" s="99">
        <v>380237.0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7476322</v>
      </c>
      <c r="D11" s="99">
        <v>6915349.0</v>
      </c>
      <c r="E11" s="99">
        <v>560973.0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614342</v>
      </c>
      <c r="D12" s="99">
        <v>563226.0</v>
      </c>
      <c r="E12" s="99">
        <v>51116.0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300499</v>
      </c>
      <c r="D15" s="99">
        <v>275496.0</v>
      </c>
      <c r="E15" s="99">
        <v>25003.0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77000</v>
      </c>
      <c r="D16" s="99">
        <v>70593.0</v>
      </c>
      <c r="E16" s="99">
        <v>6407.0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4847552</v>
      </c>
      <c r="D20" s="99">
        <v>4444214.0</v>
      </c>
      <c r="E20" s="99">
        <v>403338.0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3494585</v>
      </c>
      <c r="D22" s="99">
        <v>3203820.0</v>
      </c>
      <c r="E22" s="99">
        <v>290765.0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5905193</v>
      </c>
      <c r="D25" s="99">
        <v>5317522.0</v>
      </c>
      <c r="E25" s="99">
        <v>587671.0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779492</v>
      </c>
      <c r="D26" s="99">
        <v>730642.0</v>
      </c>
      <c r="E26" s="99">
        <v>48850.0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609414</v>
      </c>
      <c r="D32" s="99">
        <v>558708.0</v>
      </c>
      <c r="E32" s="99">
        <v>50706.0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136</v>
      </c>
      <c r="C34" s="98">
        <f t="shared" si="1"/>
        <v>2783509</v>
      </c>
      <c r="D34" s="99">
        <v>2551909.0</v>
      </c>
      <c r="E34" s="99">
        <v>231600.0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1095231</v>
      </c>
      <c r="D35" s="99">
        <v>907972.0</v>
      </c>
      <c r="E35" s="99">
        <v>187259.0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240</v>
      </c>
      <c r="C36" s="98">
        <f t="shared" si="1"/>
        <v>496388</v>
      </c>
      <c r="D36" s="99">
        <v>455086.0</v>
      </c>
      <c r="E36" s="99">
        <v>41302.0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4">
        <f t="shared" ref="C40:F40" si="2">sum(C3:C39)</f>
        <v>659048699</v>
      </c>
      <c r="D40" s="104">
        <f t="shared" si="2"/>
        <v>652385489</v>
      </c>
      <c r="E40" s="104">
        <f t="shared" si="2"/>
        <v>6663210</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TRI-COUNTIES REGIONAL CENTER</v>
      </c>
      <c r="B1" s="5"/>
      <c r="C1" s="2">
        <f>'Revenues 2024'!C1</f>
        <v>2024</v>
      </c>
      <c r="D1" s="108"/>
      <c r="E1" s="109"/>
      <c r="F1" s="43"/>
      <c r="G1" s="43"/>
      <c r="H1" s="43"/>
      <c r="I1" s="43"/>
      <c r="J1" s="43"/>
      <c r="K1" s="43"/>
      <c r="L1" s="43"/>
      <c r="M1" s="43"/>
      <c r="N1" s="43"/>
      <c r="O1" s="43"/>
      <c r="P1" s="43"/>
      <c r="Q1" s="43"/>
      <c r="R1" s="43"/>
      <c r="S1" s="43"/>
      <c r="T1" s="43"/>
      <c r="U1" s="43"/>
      <c r="V1" s="43"/>
      <c r="W1" s="43"/>
      <c r="X1" s="43"/>
      <c r="Y1" s="43"/>
      <c r="Z1" s="43"/>
    </row>
    <row r="2">
      <c r="A2" s="110" t="s">
        <v>141</v>
      </c>
      <c r="B2" s="45">
        <v>1.0</v>
      </c>
      <c r="C2" s="46" t="s">
        <v>142</v>
      </c>
      <c r="D2" s="111"/>
      <c r="E2" s="112">
        <v>2194.0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3"/>
      <c r="E3" s="112">
        <v>2.713194E7</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1"/>
      <c r="E4" s="112">
        <v>4.935436E7</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3"/>
      <c r="E5" s="112">
        <v>9165656.0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1"/>
      <c r="E10" s="112">
        <v>1270215.0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3"/>
      <c r="E17" s="112">
        <v>1.8334184E7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4"/>
      <c r="E18" s="115">
        <f>sum(E2:E17)</f>
        <v>105258549</v>
      </c>
      <c r="F18" s="43"/>
      <c r="G18" s="43"/>
      <c r="H18" s="43"/>
      <c r="I18" s="43"/>
      <c r="J18" s="43"/>
      <c r="K18" s="43"/>
      <c r="L18" s="43"/>
      <c r="M18" s="43"/>
      <c r="N18" s="43"/>
      <c r="O18" s="43"/>
      <c r="P18" s="43"/>
      <c r="Q18" s="43"/>
      <c r="R18" s="43"/>
      <c r="S18" s="43"/>
      <c r="T18" s="43"/>
      <c r="U18" s="43"/>
      <c r="V18" s="43"/>
      <c r="W18" s="43"/>
      <c r="X18" s="43"/>
      <c r="Y18" s="43"/>
      <c r="Z18" s="43"/>
    </row>
    <row r="19">
      <c r="A19" s="44" t="s">
        <v>161</v>
      </c>
      <c r="B19" s="116">
        <v>17.0</v>
      </c>
      <c r="C19" s="117" t="s">
        <v>162</v>
      </c>
      <c r="D19" s="118"/>
      <c r="E19" s="112">
        <v>7.9528076E7</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163</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164</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165</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166</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167</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168</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169</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170</v>
      </c>
      <c r="D27" s="118"/>
      <c r="E27" s="119">
        <v>4.1477984E7</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171</v>
      </c>
      <c r="D28" s="126"/>
      <c r="E28" s="127">
        <f>sum(E19:E27)</f>
        <v>121006060</v>
      </c>
      <c r="F28" s="43"/>
      <c r="G28" s="43"/>
      <c r="H28" s="43"/>
      <c r="I28" s="43"/>
      <c r="J28" s="43"/>
      <c r="K28" s="43"/>
      <c r="L28" s="43"/>
      <c r="M28" s="43"/>
      <c r="N28" s="43"/>
      <c r="O28" s="43"/>
      <c r="P28" s="43"/>
      <c r="Q28" s="43"/>
      <c r="R28" s="43"/>
      <c r="S28" s="43"/>
      <c r="T28" s="43"/>
      <c r="U28" s="43"/>
      <c r="V28" s="43"/>
      <c r="W28" s="43"/>
      <c r="X28" s="43"/>
      <c r="Y28" s="43"/>
      <c r="Z28" s="43"/>
    </row>
    <row r="29">
      <c r="A29" s="65" t="s">
        <v>172</v>
      </c>
      <c r="B29" s="128"/>
      <c r="C29" s="129" t="s">
        <v>173</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174</v>
      </c>
      <c r="D30" s="118"/>
      <c r="E30" s="112">
        <v>-1.5747511E7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175</v>
      </c>
      <c r="D31" s="118"/>
      <c r="E31" s="112">
        <v>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176</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177</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178</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179</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180</v>
      </c>
      <c r="D36" s="132"/>
      <c r="E36" s="127">
        <f>sum(E30:E35)</f>
        <v>-15747511</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181</v>
      </c>
      <c r="D37" s="136"/>
      <c r="E37" s="137">
        <f>E36+E28</f>
        <v>105258549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TRI-COUNTIES REGIONAL CENTER</v>
      </c>
      <c r="B1" s="2">
        <f>'Revenues 2024'!C1</f>
        <v>2024</v>
      </c>
      <c r="C1" s="176"/>
      <c r="D1" s="139"/>
      <c r="E1" s="140"/>
      <c r="F1" s="43"/>
      <c r="G1" s="43"/>
      <c r="H1" s="43"/>
      <c r="I1" s="43"/>
      <c r="J1" s="43"/>
      <c r="K1" s="43"/>
      <c r="L1" s="43"/>
      <c r="M1" s="43"/>
      <c r="N1" s="43"/>
      <c r="O1" s="43"/>
      <c r="P1" s="43"/>
      <c r="Q1" s="43"/>
      <c r="R1" s="43"/>
      <c r="S1" s="43"/>
      <c r="T1" s="43"/>
      <c r="U1" s="43"/>
      <c r="V1" s="43"/>
      <c r="W1" s="43"/>
      <c r="X1" s="43"/>
      <c r="Y1" s="43"/>
    </row>
    <row r="2">
      <c r="A2" s="141" t="s">
        <v>182</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183</v>
      </c>
      <c r="C3" s="145" t="s">
        <v>184</v>
      </c>
      <c r="D3" s="146">
        <f>'Expenses 2024'!C40</f>
        <v>659048699</v>
      </c>
      <c r="E3" s="147"/>
      <c r="F3" s="43"/>
      <c r="G3" s="43"/>
      <c r="H3" s="43"/>
      <c r="I3" s="43"/>
      <c r="J3" s="43"/>
      <c r="K3" s="43"/>
      <c r="L3" s="43"/>
      <c r="M3" s="43"/>
      <c r="N3" s="43"/>
      <c r="O3" s="43"/>
      <c r="P3" s="43"/>
      <c r="Q3" s="43"/>
      <c r="R3" s="43"/>
      <c r="S3" s="43"/>
      <c r="T3" s="43"/>
      <c r="U3" s="43"/>
      <c r="V3" s="43"/>
      <c r="W3" s="43"/>
      <c r="X3" s="43"/>
      <c r="Y3" s="43"/>
    </row>
    <row r="4">
      <c r="A4" s="139"/>
      <c r="B4" s="49"/>
      <c r="C4" s="145" t="s">
        <v>185</v>
      </c>
      <c r="D4" s="146">
        <f>'Expenses 2024'!C31</f>
        <v>0</v>
      </c>
      <c r="E4" s="147"/>
      <c r="F4" s="43"/>
      <c r="G4" s="43"/>
      <c r="H4" s="43"/>
      <c r="I4" s="43"/>
      <c r="J4" s="43"/>
      <c r="K4" s="43"/>
      <c r="L4" s="43"/>
      <c r="M4" s="43"/>
      <c r="N4" s="43"/>
      <c r="O4" s="43"/>
      <c r="P4" s="43"/>
      <c r="Q4" s="43"/>
      <c r="R4" s="43"/>
      <c r="S4" s="43"/>
      <c r="T4" s="43"/>
      <c r="U4" s="43"/>
      <c r="V4" s="43"/>
      <c r="W4" s="43"/>
      <c r="X4" s="43"/>
      <c r="Y4" s="43"/>
    </row>
    <row r="5">
      <c r="A5" s="139"/>
      <c r="B5" s="49"/>
      <c r="C5" s="145" t="s">
        <v>186</v>
      </c>
      <c r="D5" s="146">
        <f>D3-D4</f>
        <v>659048699</v>
      </c>
      <c r="E5" s="147"/>
      <c r="F5" s="43"/>
      <c r="G5" s="43"/>
      <c r="H5" s="43"/>
      <c r="I5" s="43"/>
      <c r="J5" s="43"/>
      <c r="K5" s="43"/>
      <c r="L5" s="43"/>
      <c r="M5" s="43"/>
      <c r="N5" s="43"/>
      <c r="O5" s="43"/>
      <c r="P5" s="43"/>
      <c r="Q5" s="43"/>
      <c r="R5" s="43"/>
      <c r="S5" s="43"/>
      <c r="T5" s="43"/>
      <c r="U5" s="43"/>
      <c r="V5" s="43"/>
      <c r="W5" s="43"/>
      <c r="X5" s="43"/>
      <c r="Y5" s="43"/>
    </row>
    <row r="6">
      <c r="A6" s="139"/>
      <c r="B6" s="49"/>
      <c r="C6" s="145" t="s">
        <v>187</v>
      </c>
      <c r="D6" s="146">
        <f>D5/12</f>
        <v>54920724.92</v>
      </c>
      <c r="E6" s="147"/>
      <c r="F6" s="43"/>
      <c r="G6" s="43"/>
      <c r="H6" s="43"/>
      <c r="I6" s="43"/>
      <c r="J6" s="43"/>
      <c r="K6" s="43"/>
      <c r="L6" s="43"/>
      <c r="M6" s="43"/>
      <c r="N6" s="43"/>
      <c r="O6" s="43"/>
      <c r="P6" s="43"/>
      <c r="Q6" s="43"/>
      <c r="R6" s="43"/>
      <c r="S6" s="43"/>
      <c r="T6" s="43"/>
      <c r="U6" s="43"/>
      <c r="V6" s="43"/>
      <c r="W6" s="43"/>
      <c r="X6" s="43"/>
      <c r="Y6" s="43"/>
    </row>
    <row r="7">
      <c r="A7" s="139"/>
      <c r="B7" s="49"/>
      <c r="C7" s="145" t="s">
        <v>188</v>
      </c>
      <c r="D7" s="75">
        <f>'Balance Sheet 2024'!E2+'Balance Sheet 2024'!E3</f>
        <v>27134134</v>
      </c>
      <c r="E7" s="147"/>
      <c r="F7" s="43"/>
      <c r="G7" s="43"/>
      <c r="H7" s="43"/>
      <c r="I7" s="43"/>
      <c r="J7" s="43"/>
      <c r="K7" s="43"/>
      <c r="L7" s="43"/>
      <c r="M7" s="43"/>
      <c r="N7" s="43"/>
      <c r="O7" s="43"/>
      <c r="P7" s="43"/>
      <c r="Q7" s="43"/>
      <c r="R7" s="43"/>
      <c r="S7" s="43"/>
      <c r="T7" s="43"/>
      <c r="U7" s="43"/>
      <c r="V7" s="43"/>
      <c r="W7" s="43"/>
      <c r="X7" s="43"/>
      <c r="Y7" s="43"/>
    </row>
    <row r="8">
      <c r="A8" s="139"/>
      <c r="B8" s="49"/>
      <c r="C8" s="148" t="s">
        <v>182</v>
      </c>
      <c r="D8" s="149">
        <f>D7/D6</f>
        <v>0.4940600118</v>
      </c>
      <c r="E8" s="150" t="s">
        <v>189</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190</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191</v>
      </c>
      <c r="C11" s="145" t="s">
        <v>192</v>
      </c>
      <c r="D11" s="75">
        <f>'Balance Sheet 2024'!E30</f>
        <v>-15747511</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193</v>
      </c>
      <c r="D12" s="75">
        <f>'Expenses 2024'!C40</f>
        <v>659048699</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194</v>
      </c>
      <c r="D13" s="146">
        <f>D12/12</f>
        <v>54920724.92</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190</v>
      </c>
      <c r="D14" s="149">
        <f>D11/D13</f>
        <v>-0.2867316669</v>
      </c>
      <c r="E14" s="150" t="s">
        <v>189</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195</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196</v>
      </c>
      <c r="C17" s="145" t="s">
        <v>197</v>
      </c>
      <c r="D17" s="75">
        <f>sum('Balance Sheet 2024'!E13:E15)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193</v>
      </c>
      <c r="D18" s="75">
        <f>'Expenses 2024'!C40</f>
        <v>659048699</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194</v>
      </c>
      <c r="D19" s="146">
        <f>D18/12</f>
        <v>54920724.92</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198</v>
      </c>
      <c r="D20" s="149">
        <f>D17/D19</f>
        <v>0</v>
      </c>
      <c r="E20" s="150" t="s">
        <v>189</v>
      </c>
      <c r="F20" s="43"/>
      <c r="G20" s="43"/>
      <c r="H20" s="43"/>
      <c r="I20" s="43"/>
      <c r="J20" s="43"/>
      <c r="K20" s="43"/>
      <c r="L20" s="43"/>
      <c r="M20" s="43"/>
      <c r="N20" s="43"/>
      <c r="O20" s="43"/>
      <c r="P20" s="43"/>
      <c r="Q20" s="43"/>
      <c r="R20" s="43"/>
      <c r="S20" s="43"/>
      <c r="T20" s="43"/>
      <c r="U20" s="43"/>
      <c r="V20" s="43"/>
      <c r="W20" s="43"/>
      <c r="X20" s="43"/>
      <c r="Y20" s="43"/>
    </row>
    <row r="21">
      <c r="A21" s="139"/>
      <c r="B21" s="49"/>
      <c r="C21" s="154" t="s">
        <v>199</v>
      </c>
      <c r="D21" s="155">
        <f>D20+D8</f>
        <v>0.4940600118</v>
      </c>
      <c r="E21" s="156" t="s">
        <v>189</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200</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201</v>
      </c>
      <c r="C24" s="160"/>
      <c r="D24" s="161">
        <f>max('Revenues 2024'!E2:E7,'Revenues 2024'!F10:F15)</f>
        <v>643470102</v>
      </c>
      <c r="E24" s="162" t="s">
        <v>202</v>
      </c>
      <c r="F24" s="43"/>
      <c r="G24" s="43"/>
      <c r="H24" s="43"/>
      <c r="I24" s="43"/>
      <c r="J24" s="43"/>
      <c r="K24" s="43"/>
      <c r="L24" s="43"/>
      <c r="M24" s="43"/>
      <c r="N24" s="43"/>
      <c r="O24" s="43"/>
      <c r="P24" s="43"/>
      <c r="Q24" s="43"/>
      <c r="R24" s="43"/>
      <c r="S24" s="43"/>
      <c r="T24" s="43"/>
      <c r="U24" s="43"/>
      <c r="V24" s="43"/>
      <c r="W24" s="43"/>
      <c r="X24" s="43"/>
      <c r="Y24" s="43"/>
    </row>
    <row r="25">
      <c r="A25" s="139"/>
      <c r="B25" s="49"/>
      <c r="C25" s="145" t="s">
        <v>203</v>
      </c>
      <c r="D25" s="146">
        <f>'Revenues 2024'!F44</f>
        <v>659035578</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200</v>
      </c>
      <c r="D26" s="163">
        <f>D24/D25</f>
        <v>0.9763814329</v>
      </c>
      <c r="E26" s="150" t="s">
        <v>204</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205</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206</v>
      </c>
      <c r="C29" s="145" t="s">
        <v>207</v>
      </c>
      <c r="D29" s="75">
        <f>SUM('Expenses 2024'!C7:C9)</f>
        <v>44794080</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208</v>
      </c>
      <c r="D30" s="75">
        <f>SUM('Expenses 2024'!C10:C12)</f>
        <v>13678179</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209</v>
      </c>
      <c r="D31" s="75">
        <f>sum(D29:D30)</f>
        <v>58472259</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184</v>
      </c>
      <c r="D32" s="75">
        <f>'Expenses 2024'!C40</f>
        <v>659048699</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210</v>
      </c>
      <c r="D33" s="163">
        <f>D31/D32</f>
        <v>0.08872221292</v>
      </c>
      <c r="E33" s="150" t="s">
        <v>211</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212</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213</v>
      </c>
      <c r="C36" s="145" t="s">
        <v>214</v>
      </c>
      <c r="D36" s="75">
        <f>SUM('Expenses 2024'!C10:C11)</f>
        <v>13063837</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207</v>
      </c>
      <c r="D37" s="75">
        <f>SUM('Expenses 2024'!C7:C9)</f>
        <v>44794080</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212</v>
      </c>
      <c r="D38" s="163">
        <f>D36/D37</f>
        <v>0.2916420429</v>
      </c>
      <c r="E38" s="150" t="s">
        <v>215</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216</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217</v>
      </c>
      <c r="C41" s="148" t="s">
        <v>243</v>
      </c>
      <c r="D41" s="75">
        <f>'Expenses 2024'!D40</f>
        <v>652385489</v>
      </c>
      <c r="E41" s="165">
        <f t="shared" ref="E41:E44" si="1">D41/$D$44</f>
        <v>0.9898896546</v>
      </c>
      <c r="F41" s="43"/>
      <c r="G41" s="43"/>
      <c r="H41" s="43"/>
      <c r="I41" s="43"/>
      <c r="J41" s="43"/>
      <c r="K41" s="43"/>
      <c r="L41" s="43"/>
      <c r="M41" s="43"/>
      <c r="N41" s="43"/>
      <c r="O41" s="43"/>
      <c r="P41" s="43"/>
      <c r="Q41" s="43"/>
      <c r="R41" s="43"/>
      <c r="S41" s="43"/>
      <c r="T41" s="43"/>
      <c r="U41" s="43"/>
      <c r="V41" s="43"/>
      <c r="W41" s="43"/>
      <c r="X41" s="43"/>
      <c r="Y41" s="43"/>
    </row>
    <row r="42">
      <c r="A42" s="139"/>
      <c r="B42" s="49"/>
      <c r="C42" s="148" t="s">
        <v>219</v>
      </c>
      <c r="D42" s="146">
        <f>'Expenses 2024'!E40</f>
        <v>6663210</v>
      </c>
      <c r="E42" s="165">
        <f t="shared" si="1"/>
        <v>0.01011034543</v>
      </c>
      <c r="F42" s="43"/>
      <c r="G42" s="43"/>
      <c r="H42" s="43"/>
      <c r="I42" s="43"/>
      <c r="J42" s="43"/>
      <c r="K42" s="43"/>
      <c r="L42" s="43"/>
      <c r="M42" s="43"/>
      <c r="N42" s="43"/>
      <c r="O42" s="43"/>
      <c r="P42" s="43"/>
      <c r="Q42" s="43"/>
      <c r="R42" s="43"/>
      <c r="S42" s="43"/>
      <c r="T42" s="43"/>
      <c r="U42" s="43"/>
      <c r="V42" s="43"/>
      <c r="W42" s="43"/>
      <c r="X42" s="43"/>
      <c r="Y42" s="43"/>
    </row>
    <row r="43">
      <c r="A43" s="139"/>
      <c r="B43" s="49"/>
      <c r="C43" s="148" t="s">
        <v>220</v>
      </c>
      <c r="D43" s="146">
        <f>'Expenses 2024'!F40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184</v>
      </c>
      <c r="D44" s="146">
        <f>sum(D41:D43)</f>
        <v>659048699</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221</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222</v>
      </c>
      <c r="C47" s="145" t="s">
        <v>223</v>
      </c>
      <c r="D47" s="146">
        <f>'Revenues 2024'!F9</f>
        <v>643493283</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224</v>
      </c>
      <c r="D48" s="146">
        <f>'Expenses 2024'!F40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225</v>
      </c>
      <c r="D49" s="166" t="str">
        <f>if(D48=0, "$0",D47/D48)</f>
        <v>$0</v>
      </c>
      <c r="E49" s="150" t="s">
        <v>226</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227</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228</v>
      </c>
      <c r="C52" s="145" t="s">
        <v>229</v>
      </c>
      <c r="D52" s="146">
        <f>sum('Balance Sheet 2024'!E2:E10)</f>
        <v>86924365</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230</v>
      </c>
      <c r="D53" s="146">
        <f>sum('Balance Sheet 2024'!E19:E22)</f>
        <v>79528076</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231</v>
      </c>
      <c r="D54" s="168">
        <f>D52/D53</f>
        <v>1.093002237</v>
      </c>
      <c r="E54" s="150" t="s">
        <v>232</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233</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234</v>
      </c>
      <c r="C57" s="145" t="s">
        <v>235</v>
      </c>
      <c r="D57" s="146">
        <f>sum('Balance Sheet 2024'!E25:E26)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236</v>
      </c>
      <c r="D58" s="146">
        <f>'Balance Sheet 2024'!E18</f>
        <v>105258549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237</v>
      </c>
      <c r="D59" s="169">
        <f>D57/D58</f>
        <v>0</v>
      </c>
      <c r="E59" s="150" t="s">
        <v>238</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TRI-COUNTIES REGIONAL CENTER</v>
      </c>
      <c r="B1" s="2" t="s">
        <v>244</v>
      </c>
      <c r="C1" s="139"/>
      <c r="D1" s="139"/>
      <c r="E1" s="139"/>
      <c r="F1" s="140"/>
      <c r="G1" s="140"/>
      <c r="H1" s="140"/>
      <c r="I1" s="43"/>
      <c r="J1" s="43"/>
      <c r="K1" s="43"/>
      <c r="L1" s="43"/>
      <c r="M1" s="43"/>
      <c r="N1" s="43"/>
      <c r="O1" s="43"/>
      <c r="P1" s="43"/>
      <c r="Q1" s="43"/>
      <c r="R1" s="43"/>
      <c r="S1" s="43"/>
      <c r="T1" s="43"/>
      <c r="U1" s="43"/>
      <c r="V1" s="43"/>
      <c r="W1" s="43"/>
      <c r="X1" s="43"/>
      <c r="Y1" s="43"/>
    </row>
    <row r="2">
      <c r="A2" s="141" t="s">
        <v>182</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183</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245</v>
      </c>
      <c r="E4" s="45" t="s">
        <v>246</v>
      </c>
      <c r="F4" s="45" t="s">
        <v>247</v>
      </c>
      <c r="G4" s="59" t="s">
        <v>248</v>
      </c>
      <c r="H4" s="59"/>
      <c r="I4" s="43"/>
      <c r="J4" s="43"/>
      <c r="K4" s="43"/>
      <c r="L4" s="43"/>
      <c r="M4" s="43"/>
      <c r="N4" s="43"/>
      <c r="O4" s="43"/>
      <c r="P4" s="43"/>
      <c r="Q4" s="43"/>
      <c r="R4" s="43"/>
      <c r="S4" s="43"/>
      <c r="T4" s="43"/>
      <c r="U4" s="43"/>
      <c r="V4" s="43"/>
      <c r="W4" s="43"/>
      <c r="X4" s="43"/>
      <c r="Y4" s="43"/>
    </row>
    <row r="5">
      <c r="A5" s="139"/>
      <c r="B5" s="49"/>
      <c r="C5" s="148" t="s">
        <v>182</v>
      </c>
      <c r="D5" s="177">
        <f>'Ratios 2022'!D8</f>
        <v>0.7377236116</v>
      </c>
      <c r="E5" s="177">
        <f>'Ratios 2023'!D8</f>
        <v>0.2811817321</v>
      </c>
      <c r="F5" s="177">
        <f>'Ratios 2024'!D8</f>
        <v>0.4940600118</v>
      </c>
      <c r="G5" s="177">
        <f>average(D5:F5)</f>
        <v>0.5043217851</v>
      </c>
      <c r="H5" s="150" t="s">
        <v>189</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190</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191</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245</v>
      </c>
      <c r="E9" s="45" t="s">
        <v>246</v>
      </c>
      <c r="F9" s="45" t="s">
        <v>247</v>
      </c>
      <c r="G9" s="59" t="s">
        <v>248</v>
      </c>
      <c r="H9" s="59"/>
      <c r="I9" s="43"/>
      <c r="J9" s="43"/>
      <c r="K9" s="43"/>
      <c r="L9" s="43"/>
      <c r="M9" s="43"/>
      <c r="N9" s="43"/>
      <c r="O9" s="43"/>
      <c r="P9" s="43"/>
      <c r="Q9" s="43"/>
      <c r="R9" s="43"/>
      <c r="S9" s="43"/>
      <c r="T9" s="43"/>
      <c r="U9" s="43"/>
      <c r="V9" s="43"/>
      <c r="W9" s="43"/>
      <c r="X9" s="43"/>
      <c r="Y9" s="43"/>
    </row>
    <row r="10">
      <c r="A10" s="139"/>
      <c r="B10" s="49"/>
      <c r="C10" s="148" t="s">
        <v>190</v>
      </c>
      <c r="D10" s="149">
        <f>'Ratios 2022'!D14</f>
        <v>-0.5017341641</v>
      </c>
      <c r="E10" s="149">
        <f>'Ratios 2023'!D14</f>
        <v>-0.3834897982</v>
      </c>
      <c r="F10" s="149">
        <f>'Ratios 2024'!D14</f>
        <v>-0.2867316669</v>
      </c>
      <c r="G10" s="177">
        <f>average(D10:F10)</f>
        <v>-0.3906518764</v>
      </c>
      <c r="H10" s="150" t="s">
        <v>189</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195</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196</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245</v>
      </c>
      <c r="E14" s="45" t="s">
        <v>246</v>
      </c>
      <c r="F14" s="45" t="s">
        <v>247</v>
      </c>
      <c r="G14" s="59" t="s">
        <v>248</v>
      </c>
      <c r="H14" s="59"/>
      <c r="I14" s="43"/>
      <c r="J14" s="43"/>
      <c r="K14" s="43"/>
      <c r="L14" s="43"/>
      <c r="M14" s="43"/>
      <c r="N14" s="43"/>
      <c r="O14" s="43"/>
      <c r="P14" s="43"/>
      <c r="Q14" s="43"/>
      <c r="R14" s="43"/>
      <c r="S14" s="43"/>
      <c r="T14" s="43"/>
      <c r="U14" s="43"/>
      <c r="V14" s="43"/>
      <c r="W14" s="43"/>
      <c r="X14" s="43"/>
      <c r="Y14" s="43"/>
    </row>
    <row r="15">
      <c r="A15" s="139"/>
      <c r="B15" s="49"/>
      <c r="C15" s="148" t="s">
        <v>198</v>
      </c>
      <c r="D15" s="180">
        <f>'Ratios 2022'!D20</f>
        <v>0</v>
      </c>
      <c r="E15" s="180">
        <f>'Ratios 2023'!D20</f>
        <v>0</v>
      </c>
      <c r="F15" s="180">
        <f>'Ratios 2024'!D20</f>
        <v>0</v>
      </c>
      <c r="G15" s="177">
        <f>average(D15:F15)</f>
        <v>0</v>
      </c>
      <c r="H15" s="150" t="s">
        <v>189</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200</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201</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245</v>
      </c>
      <c r="E19" s="45" t="s">
        <v>246</v>
      </c>
      <c r="F19" s="45" t="s">
        <v>247</v>
      </c>
      <c r="G19" s="59" t="s">
        <v>248</v>
      </c>
      <c r="H19" s="59"/>
      <c r="I19" s="43"/>
      <c r="J19" s="43"/>
      <c r="K19" s="43"/>
      <c r="L19" s="43"/>
      <c r="M19" s="43"/>
      <c r="N19" s="43"/>
      <c r="O19" s="43"/>
      <c r="P19" s="43"/>
      <c r="Q19" s="43"/>
      <c r="R19" s="43"/>
      <c r="S19" s="43"/>
      <c r="T19" s="43"/>
      <c r="U19" s="43"/>
      <c r="V19" s="43"/>
      <c r="W19" s="43"/>
      <c r="X19" s="43"/>
      <c r="Y19" s="43"/>
    </row>
    <row r="20">
      <c r="A20" s="139"/>
      <c r="B20" s="49"/>
      <c r="C20" s="148" t="s">
        <v>200</v>
      </c>
      <c r="D20" s="163">
        <f>'Ratios 2022'!D26</f>
        <v>0.9805701735</v>
      </c>
      <c r="E20" s="163">
        <f>'Ratios 2023'!D26</f>
        <v>0.9785766152</v>
      </c>
      <c r="F20" s="163">
        <f>'Ratios 2024'!D26</f>
        <v>0.9763814329</v>
      </c>
      <c r="G20" s="181">
        <f>average(D20:F20)</f>
        <v>0.9785094072</v>
      </c>
      <c r="H20" s="150" t="s">
        <v>204</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205</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206</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245</v>
      </c>
      <c r="E24" s="45" t="s">
        <v>246</v>
      </c>
      <c r="F24" s="45" t="s">
        <v>247</v>
      </c>
      <c r="G24" s="59" t="s">
        <v>248</v>
      </c>
      <c r="H24" s="59"/>
      <c r="I24" s="43"/>
      <c r="J24" s="43"/>
      <c r="K24" s="43"/>
      <c r="L24" s="43"/>
      <c r="M24" s="43"/>
      <c r="N24" s="43"/>
      <c r="O24" s="43"/>
      <c r="P24" s="43"/>
      <c r="Q24" s="43"/>
      <c r="R24" s="43"/>
      <c r="S24" s="43"/>
      <c r="T24" s="43"/>
      <c r="U24" s="43"/>
      <c r="V24" s="43"/>
      <c r="W24" s="43"/>
      <c r="X24" s="43"/>
      <c r="Y24" s="43"/>
    </row>
    <row r="25">
      <c r="A25" s="139"/>
      <c r="B25" s="49"/>
      <c r="C25" s="148" t="s">
        <v>210</v>
      </c>
      <c r="D25" s="163">
        <f>'Ratios 2022'!D33</f>
        <v>0.08717089823</v>
      </c>
      <c r="E25" s="163">
        <f>'Ratios 2023'!D33</f>
        <v>0.09103133509</v>
      </c>
      <c r="F25" s="163">
        <f>'Ratios 2024'!D33</f>
        <v>0.08872221292</v>
      </c>
      <c r="G25" s="181">
        <f>average(D25:F25)</f>
        <v>0.08897481541</v>
      </c>
      <c r="H25" s="150" t="s">
        <v>211</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212</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213</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245</v>
      </c>
      <c r="E29" s="45" t="s">
        <v>246</v>
      </c>
      <c r="F29" s="45" t="s">
        <v>247</v>
      </c>
      <c r="G29" s="59" t="s">
        <v>248</v>
      </c>
      <c r="H29" s="59"/>
      <c r="I29" s="43"/>
      <c r="J29" s="43"/>
      <c r="K29" s="43"/>
      <c r="L29" s="43"/>
      <c r="M29" s="43"/>
      <c r="N29" s="43"/>
      <c r="O29" s="43"/>
      <c r="P29" s="43"/>
      <c r="Q29" s="43"/>
      <c r="R29" s="43"/>
      <c r="S29" s="43"/>
      <c r="T29" s="43"/>
      <c r="U29" s="43"/>
      <c r="V29" s="43"/>
      <c r="W29" s="43"/>
      <c r="X29" s="43"/>
      <c r="Y29" s="43"/>
    </row>
    <row r="30">
      <c r="A30" s="139"/>
      <c r="B30" s="49"/>
      <c r="C30" s="148" t="s">
        <v>212</v>
      </c>
      <c r="D30" s="163">
        <f>'Ratios 2022'!D38</f>
        <v>0.3656423816</v>
      </c>
      <c r="E30" s="163">
        <f>'Ratios 2023'!D38</f>
        <v>0.3029609232</v>
      </c>
      <c r="F30" s="163">
        <f>'Ratios 2024'!D38</f>
        <v>0.2916420429</v>
      </c>
      <c r="G30" s="181">
        <f>average(D30:F30)</f>
        <v>0.3200817826</v>
      </c>
      <c r="H30" s="150" t="s">
        <v>215</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216</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217</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245</v>
      </c>
      <c r="E34" s="45" t="s">
        <v>246</v>
      </c>
      <c r="F34" s="45" t="s">
        <v>247</v>
      </c>
      <c r="G34" s="59" t="s">
        <v>248</v>
      </c>
      <c r="H34" s="59"/>
      <c r="I34" s="43"/>
      <c r="J34" s="43"/>
      <c r="K34" s="43"/>
      <c r="L34" s="43"/>
      <c r="M34" s="43"/>
      <c r="N34" s="43"/>
      <c r="O34" s="43"/>
      <c r="P34" s="43"/>
      <c r="Q34" s="43"/>
      <c r="R34" s="43"/>
      <c r="S34" s="43"/>
      <c r="T34" s="43"/>
      <c r="U34" s="43"/>
      <c r="V34" s="43"/>
      <c r="W34" s="43"/>
      <c r="X34" s="43"/>
      <c r="Y34" s="43"/>
    </row>
    <row r="35">
      <c r="A35" s="139"/>
      <c r="B35" s="49"/>
      <c r="C35" s="148" t="s">
        <v>249</v>
      </c>
      <c r="D35" s="163">
        <f>'Ratios 2022'!E41</f>
        <v>0.9909774773</v>
      </c>
      <c r="E35" s="163">
        <f>'Ratios 2023'!E41</f>
        <v>0.9912652903</v>
      </c>
      <c r="F35" s="163">
        <f>'Ratios 2024'!E41</f>
        <v>0.9898896546</v>
      </c>
      <c r="G35" s="181">
        <f t="shared" ref="G35:G37" si="1">average(D35:F35)</f>
        <v>0.9907108074</v>
      </c>
      <c r="H35" s="181"/>
      <c r="I35" s="43"/>
      <c r="J35" s="43"/>
      <c r="K35" s="43"/>
      <c r="L35" s="43"/>
      <c r="M35" s="43"/>
      <c r="N35" s="43"/>
      <c r="O35" s="43"/>
      <c r="P35" s="43"/>
      <c r="Q35" s="43"/>
      <c r="R35" s="43"/>
      <c r="S35" s="43"/>
      <c r="T35" s="43"/>
      <c r="U35" s="43"/>
      <c r="V35" s="43"/>
      <c r="W35" s="43"/>
      <c r="X35" s="43"/>
      <c r="Y35" s="43"/>
    </row>
    <row r="36">
      <c r="A36" s="139"/>
      <c r="B36" s="52"/>
      <c r="C36" s="148" t="s">
        <v>219</v>
      </c>
      <c r="D36" s="163">
        <f>'Ratios 2022'!E42</f>
        <v>0.009022522696</v>
      </c>
      <c r="E36" s="163">
        <f>'Ratios 2023'!E42</f>
        <v>0.008734709706</v>
      </c>
      <c r="F36" s="163">
        <f>'Ratios 2024'!E42</f>
        <v>0.01011034543</v>
      </c>
      <c r="G36" s="181">
        <f t="shared" si="1"/>
        <v>0.00928919261</v>
      </c>
      <c r="H36" s="181"/>
      <c r="I36" s="43"/>
      <c r="J36" s="43"/>
      <c r="K36" s="43"/>
      <c r="L36" s="43"/>
      <c r="M36" s="43"/>
      <c r="N36" s="43"/>
      <c r="O36" s="43"/>
      <c r="P36" s="43"/>
      <c r="Q36" s="43"/>
      <c r="R36" s="43"/>
      <c r="S36" s="43"/>
      <c r="T36" s="43"/>
      <c r="U36" s="43"/>
      <c r="V36" s="43"/>
      <c r="W36" s="43"/>
      <c r="X36" s="43"/>
      <c r="Y36" s="43"/>
    </row>
    <row r="37">
      <c r="A37" s="139"/>
      <c r="B37" s="182"/>
      <c r="C37" s="148" t="s">
        <v>220</v>
      </c>
      <c r="D37" s="163">
        <f>'Ratios 2022'!E43</f>
        <v>0</v>
      </c>
      <c r="E37" s="163">
        <f>'Ratios 2023'!E43</f>
        <v>0</v>
      </c>
      <c r="F37" s="163">
        <f>'Ratios 2024'!E43</f>
        <v>0</v>
      </c>
      <c r="G37" s="181">
        <f t="shared" si="1"/>
        <v>0</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221</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222</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245</v>
      </c>
      <c r="E41" s="45" t="s">
        <v>246</v>
      </c>
      <c r="F41" s="45" t="s">
        <v>247</v>
      </c>
      <c r="G41" s="59" t="s">
        <v>248</v>
      </c>
      <c r="H41" s="59"/>
      <c r="I41" s="43"/>
      <c r="J41" s="43"/>
      <c r="K41" s="43"/>
      <c r="L41" s="43"/>
      <c r="M41" s="43"/>
      <c r="N41" s="43"/>
      <c r="O41" s="43"/>
      <c r="P41" s="43"/>
      <c r="Q41" s="43"/>
      <c r="R41" s="43"/>
      <c r="S41" s="43"/>
      <c r="T41" s="43"/>
      <c r="U41" s="43"/>
      <c r="V41" s="43"/>
      <c r="W41" s="43"/>
      <c r="X41" s="43"/>
      <c r="Y41" s="43"/>
    </row>
    <row r="42">
      <c r="A42" s="139"/>
      <c r="B42" s="49"/>
      <c r="C42" s="148" t="s">
        <v>225</v>
      </c>
      <c r="D42" s="166" t="str">
        <f>'Ratios 2022'!D49</f>
        <v>$0</v>
      </c>
      <c r="E42" s="166" t="str">
        <f>'Ratios 2023'!D49</f>
        <v>$0</v>
      </c>
      <c r="F42" s="166" t="str">
        <f>'Ratios 2024'!D49</f>
        <v>$0</v>
      </c>
      <c r="G42" s="183">
        <f>if((D42+E42+F42=0),0,(D42+E42+F42)/3)</f>
        <v>0</v>
      </c>
      <c r="H42" s="150" t="s">
        <v>226</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227</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228</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245</v>
      </c>
      <c r="E46" s="45" t="s">
        <v>246</v>
      </c>
      <c r="F46" s="45" t="s">
        <v>247</v>
      </c>
      <c r="G46" s="59" t="s">
        <v>248</v>
      </c>
      <c r="H46" s="59"/>
      <c r="I46" s="43"/>
      <c r="J46" s="43"/>
      <c r="K46" s="43"/>
      <c r="L46" s="43"/>
      <c r="M46" s="43"/>
      <c r="N46" s="43"/>
      <c r="O46" s="43"/>
      <c r="P46" s="43"/>
      <c r="Q46" s="43"/>
      <c r="R46" s="43"/>
      <c r="S46" s="43"/>
      <c r="T46" s="43"/>
      <c r="U46" s="43"/>
      <c r="V46" s="43"/>
      <c r="W46" s="43"/>
      <c r="X46" s="43"/>
      <c r="Y46" s="43"/>
    </row>
    <row r="47">
      <c r="A47" s="139"/>
      <c r="B47" s="49"/>
      <c r="C47" s="148" t="s">
        <v>231</v>
      </c>
      <c r="D47" s="149">
        <f>'Ratios 2022'!D54</f>
        <v>0.9768736135</v>
      </c>
      <c r="E47" s="149">
        <f>'Ratios 2023'!D54</f>
        <v>1.105384174</v>
      </c>
      <c r="F47" s="149">
        <f>'Ratios 2024'!D54</f>
        <v>1.093002237</v>
      </c>
      <c r="G47" s="177">
        <f>average(D47:F47)</f>
        <v>1.058420008</v>
      </c>
      <c r="H47" s="150" t="s">
        <v>232</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233</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234</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245</v>
      </c>
      <c r="E51" s="45" t="s">
        <v>246</v>
      </c>
      <c r="F51" s="45" t="s">
        <v>247</v>
      </c>
      <c r="G51" s="59" t="s">
        <v>248</v>
      </c>
      <c r="H51" s="59"/>
      <c r="I51" s="43"/>
      <c r="J51" s="43"/>
      <c r="K51" s="43"/>
      <c r="L51" s="43"/>
      <c r="M51" s="43"/>
      <c r="N51" s="43"/>
      <c r="O51" s="43"/>
      <c r="P51" s="43"/>
      <c r="Q51" s="43"/>
      <c r="R51" s="43"/>
      <c r="S51" s="43"/>
      <c r="T51" s="43"/>
      <c r="U51" s="43"/>
      <c r="V51" s="43"/>
      <c r="W51" s="43"/>
      <c r="X51" s="43"/>
      <c r="Y51" s="43"/>
    </row>
    <row r="52">
      <c r="A52" s="139"/>
      <c r="B52" s="49"/>
      <c r="C52" s="148" t="s">
        <v>237</v>
      </c>
      <c r="D52" s="184">
        <f>'Ratios 2022'!D59</f>
        <v>0</v>
      </c>
      <c r="E52" s="184">
        <f>'Ratios 2023'!D59</f>
        <v>0</v>
      </c>
      <c r="F52" s="184">
        <f>'Ratios 2024'!D59</f>
        <v>0</v>
      </c>
      <c r="G52" s="185">
        <f>average(D52:F52)</f>
        <v>0</v>
      </c>
      <c r="H52" s="150" t="s">
        <v>238</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TRI-COUNTIES REGIONAL CENTER</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TRI-COUNTIES REGIONAL CENTER</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4.43944872E8</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56292.0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444001164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8549349.0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22127.0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8571476</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168922.0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98</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452741562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TRI-COUNTIES REGIONAL CENTER</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399594922</v>
      </c>
      <c r="D4" s="99">
        <v>3.99594922E8</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622531</v>
      </c>
      <c r="D7" s="99">
        <v>574365.0</v>
      </c>
      <c r="E7" s="99">
        <v>48166.0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110</v>
      </c>
      <c r="C9" s="98">
        <f t="shared" si="1"/>
        <v>27983666</v>
      </c>
      <c r="D9" s="99">
        <v>2.58194E7</v>
      </c>
      <c r="E9" s="99">
        <v>2164266.0</v>
      </c>
      <c r="F9" s="99">
        <v>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4755677</v>
      </c>
      <c r="D10" s="99">
        <v>4362843.0</v>
      </c>
      <c r="E10" s="99">
        <v>392834.0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5703961</v>
      </c>
      <c r="D11" s="99">
        <v>5266095.0</v>
      </c>
      <c r="E11" s="99">
        <v>437866.0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397783</v>
      </c>
      <c r="D12" s="99">
        <v>366126.0</v>
      </c>
      <c r="E12" s="99">
        <v>31657.0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161124</v>
      </c>
      <c r="D15" s="99">
        <v>148658.0</v>
      </c>
      <c r="E15" s="99">
        <v>12466.0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85200</v>
      </c>
      <c r="D16" s="99">
        <v>78608.0</v>
      </c>
      <c r="E16" s="99">
        <v>6592.0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938701</v>
      </c>
      <c r="D20" s="99">
        <v>902920.0</v>
      </c>
      <c r="E20" s="99">
        <v>35781.0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1085864</v>
      </c>
      <c r="D22" s="99">
        <v>1001849.0</v>
      </c>
      <c r="E22" s="99">
        <v>84015.0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4898499</v>
      </c>
      <c r="D25" s="99">
        <v>4519493.0</v>
      </c>
      <c r="E25" s="99">
        <v>379006.0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422534</v>
      </c>
      <c r="D26" s="99">
        <v>399810.0</v>
      </c>
      <c r="E26" s="99">
        <v>22724.0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311272</v>
      </c>
      <c r="D28" s="99">
        <v>287188.0</v>
      </c>
      <c r="E28" s="99">
        <v>24084.0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405683</v>
      </c>
      <c r="D32" s="99">
        <v>374295.0</v>
      </c>
      <c r="E32" s="99">
        <v>31388.0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135</v>
      </c>
      <c r="C34" s="98">
        <f t="shared" si="1"/>
        <v>2320211</v>
      </c>
      <c r="D34" s="99">
        <v>2140692.0</v>
      </c>
      <c r="E34" s="99">
        <v>179519.0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2004908</v>
      </c>
      <c r="D35" s="99">
        <v>1849785.0</v>
      </c>
      <c r="E35" s="99">
        <v>155123.0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t="s">
        <v>137</v>
      </c>
      <c r="C36" s="98">
        <f t="shared" si="1"/>
        <v>556343</v>
      </c>
      <c r="D36" s="99">
        <v>513298.0</v>
      </c>
      <c r="E36" s="99">
        <v>43045.0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382251</v>
      </c>
      <c r="D37" s="99">
        <v>352676.0</v>
      </c>
      <c r="E37" s="99">
        <v>29575.0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84384</v>
      </c>
      <c r="D38" s="99">
        <v>77855.0</v>
      </c>
      <c r="E38" s="99">
        <v>6529.0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4">
        <f t="shared" ref="C40:F40" si="2">sum(C3:C39)</f>
        <v>452715514</v>
      </c>
      <c r="D40" s="104">
        <f t="shared" si="2"/>
        <v>448630878</v>
      </c>
      <c r="E40" s="104">
        <f t="shared" si="2"/>
        <v>4084636</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TRI-COUNTIES REGIONAL CENTER</v>
      </c>
      <c r="B1" s="5"/>
      <c r="C1" s="2">
        <f>'READ HERE FIRST'!B5</f>
        <v>2022</v>
      </c>
      <c r="D1" s="108"/>
      <c r="E1" s="109"/>
      <c r="F1" s="43"/>
      <c r="G1" s="43"/>
      <c r="H1" s="43"/>
      <c r="I1" s="43"/>
      <c r="J1" s="43"/>
      <c r="K1" s="43"/>
      <c r="L1" s="43"/>
      <c r="M1" s="43"/>
      <c r="N1" s="43"/>
      <c r="O1" s="43"/>
      <c r="P1" s="43"/>
      <c r="Q1" s="43"/>
      <c r="R1" s="43"/>
      <c r="S1" s="43"/>
      <c r="T1" s="43"/>
      <c r="U1" s="43"/>
      <c r="V1" s="43"/>
      <c r="W1" s="43"/>
      <c r="X1" s="43"/>
      <c r="Y1" s="43"/>
      <c r="Z1" s="43"/>
    </row>
    <row r="2">
      <c r="A2" s="110" t="s">
        <v>141</v>
      </c>
      <c r="B2" s="45">
        <v>1.0</v>
      </c>
      <c r="C2" s="46" t="s">
        <v>142</v>
      </c>
      <c r="D2" s="111"/>
      <c r="E2" s="112">
        <v>2094.0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3"/>
      <c r="E3" s="112">
        <v>2.7829483E7</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3"/>
      <c r="E5" s="112">
        <v>2.4120618E7</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1"/>
      <c r="E10" s="112">
        <v>1217886.0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3"/>
      <c r="E17" s="112">
        <v>2.6584752E7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4"/>
      <c r="E18" s="115">
        <f>sum(E2:E17)</f>
        <v>79754833</v>
      </c>
      <c r="F18" s="43"/>
      <c r="G18" s="43"/>
      <c r="H18" s="43"/>
      <c r="I18" s="43"/>
      <c r="J18" s="43"/>
      <c r="K18" s="43"/>
      <c r="L18" s="43"/>
      <c r="M18" s="43"/>
      <c r="N18" s="43"/>
      <c r="O18" s="43"/>
      <c r="P18" s="43"/>
      <c r="Q18" s="43"/>
      <c r="R18" s="43"/>
      <c r="S18" s="43"/>
      <c r="T18" s="43"/>
      <c r="U18" s="43"/>
      <c r="V18" s="43"/>
      <c r="W18" s="43"/>
      <c r="X18" s="43"/>
      <c r="Y18" s="43"/>
      <c r="Z18" s="43"/>
    </row>
    <row r="19">
      <c r="A19" s="44" t="s">
        <v>161</v>
      </c>
      <c r="B19" s="116">
        <v>17.0</v>
      </c>
      <c r="C19" s="117" t="s">
        <v>162</v>
      </c>
      <c r="D19" s="118"/>
      <c r="E19" s="112">
        <v>5.4428823E7</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163</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164</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165</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166</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167</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168</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169</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170</v>
      </c>
      <c r="D27" s="118"/>
      <c r="E27" s="119">
        <v>4.425458E7</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171</v>
      </c>
      <c r="D28" s="126"/>
      <c r="E28" s="127">
        <f>sum(E19:E27)</f>
        <v>98683403</v>
      </c>
      <c r="F28" s="43"/>
      <c r="G28" s="43"/>
      <c r="H28" s="43"/>
      <c r="I28" s="43"/>
      <c r="J28" s="43"/>
      <c r="K28" s="43"/>
      <c r="L28" s="43"/>
      <c r="M28" s="43"/>
      <c r="N28" s="43"/>
      <c r="O28" s="43"/>
      <c r="P28" s="43"/>
      <c r="Q28" s="43"/>
      <c r="R28" s="43"/>
      <c r="S28" s="43"/>
      <c r="T28" s="43"/>
      <c r="U28" s="43"/>
      <c r="V28" s="43"/>
      <c r="W28" s="43"/>
      <c r="X28" s="43"/>
      <c r="Y28" s="43"/>
      <c r="Z28" s="43"/>
    </row>
    <row r="29">
      <c r="A29" s="65" t="s">
        <v>172</v>
      </c>
      <c r="B29" s="128"/>
      <c r="C29" s="129" t="s">
        <v>173</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174</v>
      </c>
      <c r="D30" s="118"/>
      <c r="E30" s="112">
        <v>-1.892857E7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175</v>
      </c>
      <c r="D31" s="118"/>
      <c r="E31" s="112">
        <v>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176</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177</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178</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179</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180</v>
      </c>
      <c r="D36" s="132"/>
      <c r="E36" s="127">
        <f>sum(E30:E35)</f>
        <v>-18928570</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181</v>
      </c>
      <c r="D37" s="136"/>
      <c r="E37" s="137">
        <f>E36+E28</f>
        <v>79754833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TRI-COUNTIES REGIONAL CENTER</v>
      </c>
      <c r="B1" s="2">
        <f>'READ HERE FIRST'!B5</f>
        <v>2022</v>
      </c>
      <c r="C1" s="139"/>
      <c r="D1" s="139"/>
      <c r="E1" s="140"/>
      <c r="F1" s="43"/>
      <c r="G1" s="43"/>
      <c r="H1" s="43"/>
      <c r="I1" s="43"/>
      <c r="J1" s="43"/>
      <c r="K1" s="43"/>
      <c r="L1" s="43"/>
      <c r="M1" s="43"/>
      <c r="N1" s="43"/>
      <c r="O1" s="43"/>
      <c r="P1" s="43"/>
      <c r="Q1" s="43"/>
      <c r="R1" s="43"/>
      <c r="S1" s="43"/>
      <c r="T1" s="43"/>
      <c r="U1" s="43"/>
      <c r="V1" s="43"/>
      <c r="W1" s="43"/>
      <c r="X1" s="43"/>
      <c r="Y1" s="43"/>
    </row>
    <row r="2">
      <c r="A2" s="141" t="s">
        <v>182</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183</v>
      </c>
      <c r="C3" s="145" t="s">
        <v>184</v>
      </c>
      <c r="D3" s="146">
        <f>'Expenses 2022'!C40</f>
        <v>452715514</v>
      </c>
      <c r="E3" s="147"/>
      <c r="F3" s="43"/>
      <c r="G3" s="43"/>
      <c r="H3" s="43"/>
      <c r="I3" s="43"/>
      <c r="J3" s="43"/>
      <c r="K3" s="43"/>
      <c r="L3" s="43"/>
      <c r="M3" s="43"/>
      <c r="N3" s="43"/>
      <c r="O3" s="43"/>
      <c r="P3" s="43"/>
      <c r="Q3" s="43"/>
      <c r="R3" s="43"/>
      <c r="S3" s="43"/>
      <c r="T3" s="43"/>
      <c r="U3" s="43"/>
      <c r="V3" s="43"/>
      <c r="W3" s="43"/>
      <c r="X3" s="43"/>
      <c r="Y3" s="43"/>
    </row>
    <row r="4">
      <c r="A4" s="139"/>
      <c r="B4" s="49"/>
      <c r="C4" s="145" t="s">
        <v>185</v>
      </c>
      <c r="D4" s="146">
        <f>'Expenses 2022'!C31</f>
        <v>0</v>
      </c>
      <c r="E4" s="147"/>
      <c r="F4" s="43"/>
      <c r="G4" s="43"/>
      <c r="H4" s="43"/>
      <c r="I4" s="43"/>
      <c r="J4" s="43"/>
      <c r="K4" s="43"/>
      <c r="L4" s="43"/>
      <c r="M4" s="43"/>
      <c r="N4" s="43"/>
      <c r="O4" s="43"/>
      <c r="P4" s="43"/>
      <c r="Q4" s="43"/>
      <c r="R4" s="43"/>
      <c r="S4" s="43"/>
      <c r="T4" s="43"/>
      <c r="U4" s="43"/>
      <c r="V4" s="43"/>
      <c r="W4" s="43"/>
      <c r="X4" s="43"/>
      <c r="Y4" s="43"/>
    </row>
    <row r="5">
      <c r="A5" s="139"/>
      <c r="B5" s="49"/>
      <c r="C5" s="145" t="s">
        <v>186</v>
      </c>
      <c r="D5" s="146">
        <f>D3-D4</f>
        <v>452715514</v>
      </c>
      <c r="E5" s="147"/>
      <c r="F5" s="43"/>
      <c r="G5" s="43"/>
      <c r="H5" s="43"/>
      <c r="I5" s="43"/>
      <c r="J5" s="43"/>
      <c r="K5" s="43"/>
      <c r="L5" s="43"/>
      <c r="M5" s="43"/>
      <c r="N5" s="43"/>
      <c r="O5" s="43"/>
      <c r="P5" s="43"/>
      <c r="Q5" s="43"/>
      <c r="R5" s="43"/>
      <c r="S5" s="43"/>
      <c r="T5" s="43"/>
      <c r="U5" s="43"/>
      <c r="V5" s="43"/>
      <c r="W5" s="43"/>
      <c r="X5" s="43"/>
      <c r="Y5" s="43"/>
    </row>
    <row r="6">
      <c r="A6" s="139"/>
      <c r="B6" s="49"/>
      <c r="C6" s="145" t="s">
        <v>187</v>
      </c>
      <c r="D6" s="146">
        <f>D5/12</f>
        <v>37726292.83</v>
      </c>
      <c r="E6" s="147"/>
      <c r="F6" s="43"/>
      <c r="G6" s="43"/>
      <c r="H6" s="43"/>
      <c r="I6" s="43"/>
      <c r="J6" s="43"/>
      <c r="K6" s="43"/>
      <c r="L6" s="43"/>
      <c r="M6" s="43"/>
      <c r="N6" s="43"/>
      <c r="O6" s="43"/>
      <c r="P6" s="43"/>
      <c r="Q6" s="43"/>
      <c r="R6" s="43"/>
      <c r="S6" s="43"/>
      <c r="T6" s="43"/>
      <c r="U6" s="43"/>
      <c r="V6" s="43"/>
      <c r="W6" s="43"/>
      <c r="X6" s="43"/>
      <c r="Y6" s="43"/>
    </row>
    <row r="7">
      <c r="A7" s="139"/>
      <c r="B7" s="49"/>
      <c r="C7" s="145" t="s">
        <v>188</v>
      </c>
      <c r="D7" s="75">
        <f>'Balance Sheet 2022'!E2+'Balance Sheet 2022'!E3</f>
        <v>27831577</v>
      </c>
      <c r="E7" s="147"/>
      <c r="F7" s="43"/>
      <c r="G7" s="43"/>
      <c r="H7" s="43"/>
      <c r="I7" s="43"/>
      <c r="J7" s="43"/>
      <c r="K7" s="43"/>
      <c r="L7" s="43"/>
      <c r="M7" s="43"/>
      <c r="N7" s="43"/>
      <c r="O7" s="43"/>
      <c r="P7" s="43"/>
      <c r="Q7" s="43"/>
      <c r="R7" s="43"/>
      <c r="S7" s="43"/>
      <c r="T7" s="43"/>
      <c r="U7" s="43"/>
      <c r="V7" s="43"/>
      <c r="W7" s="43"/>
      <c r="X7" s="43"/>
      <c r="Y7" s="43"/>
    </row>
    <row r="8">
      <c r="A8" s="139"/>
      <c r="B8" s="49"/>
      <c r="C8" s="148" t="s">
        <v>182</v>
      </c>
      <c r="D8" s="149">
        <f>D7/D6</f>
        <v>0.7377236116</v>
      </c>
      <c r="E8" s="150" t="s">
        <v>189</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190</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191</v>
      </c>
      <c r="C11" s="145" t="s">
        <v>192</v>
      </c>
      <c r="D11" s="75">
        <f>'Balance Sheet 2022'!E30</f>
        <v>-18928570</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193</v>
      </c>
      <c r="D12" s="75">
        <f>'Expenses 2022'!C40</f>
        <v>452715514</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194</v>
      </c>
      <c r="D13" s="146">
        <f>D12/12</f>
        <v>37726292.83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190</v>
      </c>
      <c r="D14" s="149">
        <f>D11/D13</f>
        <v>-0.5017341641</v>
      </c>
      <c r="E14" s="150" t="s">
        <v>189</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195</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196</v>
      </c>
      <c r="C17" s="145" t="s">
        <v>197</v>
      </c>
      <c r="D17" s="75">
        <f>sum('Balance Sheet 2022'!E13:E15)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193</v>
      </c>
      <c r="D18" s="75">
        <f>'Expenses 2022'!C40</f>
        <v>452715514</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194</v>
      </c>
      <c r="D19" s="146">
        <f>D18/12</f>
        <v>37726292.83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198</v>
      </c>
      <c r="D20" s="149">
        <f>D17/D19</f>
        <v>0</v>
      </c>
      <c r="E20" s="150" t="s">
        <v>189</v>
      </c>
      <c r="F20" s="43"/>
      <c r="G20" s="43"/>
      <c r="H20" s="43"/>
      <c r="I20" s="43"/>
      <c r="J20" s="43"/>
      <c r="K20" s="43"/>
      <c r="L20" s="43"/>
      <c r="M20" s="43"/>
      <c r="N20" s="43"/>
      <c r="O20" s="43"/>
      <c r="P20" s="43"/>
      <c r="Q20" s="43"/>
      <c r="R20" s="43"/>
      <c r="S20" s="43"/>
      <c r="T20" s="43"/>
      <c r="U20" s="43"/>
      <c r="V20" s="43"/>
      <c r="W20" s="43"/>
      <c r="X20" s="43"/>
      <c r="Y20" s="43"/>
    </row>
    <row r="21">
      <c r="A21" s="139"/>
      <c r="B21" s="49"/>
      <c r="C21" s="154" t="s">
        <v>199</v>
      </c>
      <c r="D21" s="155">
        <f>D20+D8</f>
        <v>0.7377236116</v>
      </c>
      <c r="E21" s="156" t="s">
        <v>189</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200</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201</v>
      </c>
      <c r="C24" s="160"/>
      <c r="D24" s="161">
        <f>max('Revenues 2022'!E2:E7,'Revenues 2022'!F10:F15)</f>
        <v>443944872</v>
      </c>
      <c r="E24" s="162" t="s">
        <v>202</v>
      </c>
      <c r="F24" s="43"/>
      <c r="G24" s="43"/>
      <c r="H24" s="43"/>
      <c r="I24" s="43"/>
      <c r="J24" s="43"/>
      <c r="K24" s="43"/>
      <c r="L24" s="43"/>
      <c r="M24" s="43"/>
      <c r="N24" s="43"/>
      <c r="O24" s="43"/>
      <c r="P24" s="43"/>
      <c r="Q24" s="43"/>
      <c r="R24" s="43"/>
      <c r="S24" s="43"/>
      <c r="T24" s="43"/>
      <c r="U24" s="43"/>
      <c r="V24" s="43"/>
      <c r="W24" s="43"/>
      <c r="X24" s="43"/>
      <c r="Y24" s="43"/>
    </row>
    <row r="25">
      <c r="A25" s="139"/>
      <c r="B25" s="49"/>
      <c r="C25" s="145" t="s">
        <v>203</v>
      </c>
      <c r="D25" s="146">
        <f>'Revenues 2022'!F44</f>
        <v>452741562</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200</v>
      </c>
      <c r="D26" s="163">
        <f>D24/D25</f>
        <v>0.9805701735</v>
      </c>
      <c r="E26" s="150" t="s">
        <v>204</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205</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206</v>
      </c>
      <c r="C29" s="145" t="s">
        <v>207</v>
      </c>
      <c r="D29" s="75">
        <f>SUM('Expenses 2022'!C7:C9)</f>
        <v>28606197</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208</v>
      </c>
      <c r="D30" s="75">
        <f>SUM('Expenses 2022'!C10:C12)</f>
        <v>10857421</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209</v>
      </c>
      <c r="D31" s="75">
        <f>sum(D29:D30)</f>
        <v>39463618</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184</v>
      </c>
      <c r="D32" s="75">
        <f>'Expenses 2022'!C40</f>
        <v>452715514</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210</v>
      </c>
      <c r="D33" s="163">
        <f>D31/D32</f>
        <v>0.08717089823</v>
      </c>
      <c r="E33" s="150" t="s">
        <v>211</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212</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213</v>
      </c>
      <c r="C36" s="145" t="s">
        <v>214</v>
      </c>
      <c r="D36" s="75">
        <f>SUM('Expenses 2022'!C10:C11)</f>
        <v>10459638</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207</v>
      </c>
      <c r="D37" s="75">
        <f>SUM('Expenses 2022'!C7:C9)</f>
        <v>28606197</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212</v>
      </c>
      <c r="D38" s="163">
        <f>D36/D37</f>
        <v>0.3656423816</v>
      </c>
      <c r="E38" s="150" t="s">
        <v>215</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216</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217</v>
      </c>
      <c r="C41" s="148" t="s">
        <v>218</v>
      </c>
      <c r="D41" s="75">
        <f>'Expenses 2022'!D40</f>
        <v>448630878</v>
      </c>
      <c r="E41" s="165">
        <f t="shared" ref="E41:E44" si="1">D41/$D$44</f>
        <v>0.9909774773</v>
      </c>
      <c r="F41" s="43"/>
      <c r="G41" s="43"/>
      <c r="H41" s="43"/>
      <c r="I41" s="43"/>
      <c r="J41" s="43"/>
      <c r="K41" s="43"/>
      <c r="L41" s="43"/>
      <c r="M41" s="43"/>
      <c r="N41" s="43"/>
      <c r="O41" s="43"/>
      <c r="P41" s="43"/>
      <c r="Q41" s="43"/>
      <c r="R41" s="43"/>
      <c r="S41" s="43"/>
      <c r="T41" s="43"/>
      <c r="U41" s="43"/>
      <c r="V41" s="43"/>
      <c r="W41" s="43"/>
      <c r="X41" s="43"/>
      <c r="Y41" s="43"/>
    </row>
    <row r="42">
      <c r="A42" s="139"/>
      <c r="B42" s="49"/>
      <c r="C42" s="148" t="s">
        <v>219</v>
      </c>
      <c r="D42" s="146">
        <f>'Expenses 2022'!E40</f>
        <v>4084636</v>
      </c>
      <c r="E42" s="165">
        <f t="shared" si="1"/>
        <v>0.009022522696</v>
      </c>
      <c r="F42" s="43"/>
      <c r="G42" s="43"/>
      <c r="H42" s="43"/>
      <c r="I42" s="43"/>
      <c r="J42" s="43"/>
      <c r="K42" s="43"/>
      <c r="L42" s="43"/>
      <c r="M42" s="43"/>
      <c r="N42" s="43"/>
      <c r="O42" s="43"/>
      <c r="P42" s="43"/>
      <c r="Q42" s="43"/>
      <c r="R42" s="43"/>
      <c r="S42" s="43"/>
      <c r="T42" s="43"/>
      <c r="U42" s="43"/>
      <c r="V42" s="43"/>
      <c r="W42" s="43"/>
      <c r="X42" s="43"/>
      <c r="Y42" s="43"/>
    </row>
    <row r="43">
      <c r="A43" s="139"/>
      <c r="B43" s="49"/>
      <c r="C43" s="148" t="s">
        <v>220</v>
      </c>
      <c r="D43" s="146">
        <f>'Expenses 2022'!F40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184</v>
      </c>
      <c r="D44" s="146">
        <f>sum(D41:D43)</f>
        <v>452715514</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221</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222</v>
      </c>
      <c r="C47" s="145" t="s">
        <v>223</v>
      </c>
      <c r="D47" s="146">
        <f>'Revenues 2022'!F9</f>
        <v>444001164</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224</v>
      </c>
      <c r="D48" s="146">
        <f>'Expenses 2022'!F40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225</v>
      </c>
      <c r="D49" s="166" t="str">
        <f>if(D48=0, "$0",D47/D48)</f>
        <v>$0</v>
      </c>
      <c r="E49" s="150" t="s">
        <v>226</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227</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228</v>
      </c>
      <c r="C52" s="145" t="s">
        <v>229</v>
      </c>
      <c r="D52" s="146">
        <f>sum('Balance Sheet 2022'!E2:E10)</f>
        <v>53170081</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230</v>
      </c>
      <c r="D53" s="146">
        <f>sum('Balance Sheet 2022'!E19:E22)</f>
        <v>54428823</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231</v>
      </c>
      <c r="D54" s="168">
        <f>D52/D53</f>
        <v>0.9768736135</v>
      </c>
      <c r="E54" s="150" t="s">
        <v>232</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233</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234</v>
      </c>
      <c r="C57" s="145" t="s">
        <v>235</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236</v>
      </c>
      <c r="D58" s="146">
        <f>'Balance Sheet 2022'!E18</f>
        <v>79754833</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237</v>
      </c>
      <c r="D59" s="169">
        <f>D57/D58</f>
        <v>0</v>
      </c>
      <c r="E59" s="150" t="s">
        <v>238</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TRI-COUNTIES REGIONAL CENTER</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5.32610413E8</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19541.0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532629954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1.0743792E7</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10743792</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883706.0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239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65</v>
      </c>
      <c r="D39" s="74"/>
      <c r="E39" s="48">
        <v>13078.0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13078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544270530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TRI-COUNTIES REGIONAL CENTER</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480283837</v>
      </c>
      <c r="D4" s="99">
        <v>4.80283837E8</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666415</v>
      </c>
      <c r="D7" s="99">
        <v>616355.0</v>
      </c>
      <c r="E7" s="99">
        <v>50060.0</v>
      </c>
      <c r="F7" s="99">
        <v>0.0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36961748</v>
      </c>
      <c r="D9" s="99">
        <v>3.4214434E7</v>
      </c>
      <c r="E9" s="99">
        <v>2747314.0</v>
      </c>
      <c r="F9" s="99">
        <v>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4995605</v>
      </c>
      <c r="D10" s="99">
        <v>4596058.0</v>
      </c>
      <c r="E10" s="99">
        <v>399547.0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6404258</v>
      </c>
      <c r="D11" s="99">
        <v>5892048.0</v>
      </c>
      <c r="E11" s="99">
        <v>512210.0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518532</v>
      </c>
      <c r="D12" s="99">
        <v>479990.0</v>
      </c>
      <c r="E12" s="99">
        <v>38542.0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166398</v>
      </c>
      <c r="D15" s="99">
        <v>154030.0</v>
      </c>
      <c r="E15" s="99">
        <v>12368.0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74000</v>
      </c>
      <c r="D16" s="99">
        <v>68500.0</v>
      </c>
      <c r="E16" s="99">
        <v>5500.0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2041250</v>
      </c>
      <c r="D20" s="99">
        <v>1935591.0</v>
      </c>
      <c r="E20" s="99">
        <v>105659.0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2110119</v>
      </c>
      <c r="D22" s="99">
        <v>1953278.0</v>
      </c>
      <c r="E22" s="99">
        <v>156841.0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5747226</v>
      </c>
      <c r="D25" s="99">
        <v>5320043.0</v>
      </c>
      <c r="E25" s="99">
        <v>427183.0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650188</v>
      </c>
      <c r="D26" s="99">
        <v>623375.0</v>
      </c>
      <c r="E26" s="99">
        <v>26813.0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560220</v>
      </c>
      <c r="D32" s="99">
        <v>518580.0</v>
      </c>
      <c r="E32" s="99">
        <v>41640.0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136</v>
      </c>
      <c r="C34" s="98">
        <f t="shared" si="1"/>
        <v>1674850</v>
      </c>
      <c r="D34" s="99">
        <v>1550361.0</v>
      </c>
      <c r="E34" s="99">
        <v>124489.0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985189</v>
      </c>
      <c r="D35" s="99">
        <v>911961.0</v>
      </c>
      <c r="E35" s="99">
        <v>73228.0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240</v>
      </c>
      <c r="C36" s="98">
        <f t="shared" si="1"/>
        <v>440417</v>
      </c>
      <c r="D36" s="99">
        <v>407681.0</v>
      </c>
      <c r="E36" s="99">
        <v>32736.0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4">
        <f t="shared" ref="C40:F40" si="2">sum(C3:C39)</f>
        <v>544280252</v>
      </c>
      <c r="D40" s="104">
        <f t="shared" si="2"/>
        <v>539526122</v>
      </c>
      <c r="E40" s="104">
        <f t="shared" si="2"/>
        <v>4754130</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TRI-COUNTIES REGIONAL CENTER</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141</v>
      </c>
      <c r="B2" s="45">
        <v>1.0</v>
      </c>
      <c r="C2" s="46" t="s">
        <v>142</v>
      </c>
      <c r="D2" s="111"/>
      <c r="E2" s="112">
        <v>2194.0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3"/>
      <c r="E3" s="112">
        <v>1.2751278E7</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1"/>
      <c r="E4" s="112">
        <v>5.0693236E7</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3"/>
      <c r="E5" s="112">
        <v>912551.0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1"/>
      <c r="E10" s="112">
        <v>9381158.0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3"/>
      <c r="E17" s="112">
        <v>1.4772163E7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4"/>
      <c r="E18" s="115">
        <f>sum(E2:E17)</f>
        <v>88512580</v>
      </c>
      <c r="F18" s="43"/>
      <c r="G18" s="43"/>
      <c r="H18" s="43"/>
      <c r="I18" s="43"/>
      <c r="J18" s="43"/>
      <c r="K18" s="43"/>
      <c r="L18" s="43"/>
      <c r="M18" s="43"/>
      <c r="N18" s="43"/>
      <c r="O18" s="43"/>
      <c r="P18" s="43"/>
      <c r="Q18" s="43"/>
      <c r="R18" s="43"/>
      <c r="S18" s="43"/>
      <c r="T18" s="43"/>
      <c r="U18" s="43"/>
      <c r="V18" s="43"/>
      <c r="W18" s="43"/>
      <c r="X18" s="43"/>
      <c r="Y18" s="43"/>
      <c r="Z18" s="43"/>
    </row>
    <row r="19">
      <c r="A19" s="44" t="s">
        <v>161</v>
      </c>
      <c r="B19" s="116">
        <v>17.0</v>
      </c>
      <c r="C19" s="117" t="s">
        <v>162</v>
      </c>
      <c r="D19" s="118"/>
      <c r="E19" s="112">
        <v>6.6710216E7</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163</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164</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165</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166</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167</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168</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169</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170</v>
      </c>
      <c r="D27" s="118"/>
      <c r="E27" s="119">
        <v>3.9196191E7</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171</v>
      </c>
      <c r="D28" s="126"/>
      <c r="E28" s="127">
        <f>sum(E19:E27)</f>
        <v>105906407</v>
      </c>
      <c r="F28" s="43"/>
      <c r="G28" s="43"/>
      <c r="H28" s="43"/>
      <c r="I28" s="43"/>
      <c r="J28" s="43"/>
      <c r="K28" s="43"/>
      <c r="L28" s="43"/>
      <c r="M28" s="43"/>
      <c r="N28" s="43"/>
      <c r="O28" s="43"/>
      <c r="P28" s="43"/>
      <c r="Q28" s="43"/>
      <c r="R28" s="43"/>
      <c r="S28" s="43"/>
      <c r="T28" s="43"/>
      <c r="U28" s="43"/>
      <c r="V28" s="43"/>
      <c r="W28" s="43"/>
      <c r="X28" s="43"/>
      <c r="Y28" s="43"/>
      <c r="Z28" s="43"/>
    </row>
    <row r="29">
      <c r="A29" s="65" t="s">
        <v>172</v>
      </c>
      <c r="B29" s="128"/>
      <c r="C29" s="129" t="s">
        <v>173</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174</v>
      </c>
      <c r="D30" s="118"/>
      <c r="E30" s="112">
        <v>-1.7393827E7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175</v>
      </c>
      <c r="D31" s="118"/>
      <c r="E31" s="112">
        <v>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176</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177</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178</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179</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180</v>
      </c>
      <c r="D36" s="132"/>
      <c r="E36" s="127">
        <f>sum(E30:E35)</f>
        <v>-17393827</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181</v>
      </c>
      <c r="D37" s="136"/>
      <c r="E37" s="137">
        <f>E36+E28</f>
        <v>88512580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