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<sst xmlns="http://schemas.openxmlformats.org/spreadsheetml/2006/main" count="862" uniqueCount="248">
  <si>
    <t>THE CALYX INSTITUTE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</si>
  <si>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</si>
  <si>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</si>
  <si>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</si>
  <si>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</si>
  <si>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</si>
  <si>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</si>
  <si>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</si>
  <si>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</si>
  <si>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</si>
  <si>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</si>
  <si>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</si>
  <si>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</si>
  <si>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</si>
  <si>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</si>
  <si>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</si>
  <si>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</si>
  <si>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</si>
  <si>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</si>
  <si>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</si>
  <si>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</si>
  <si>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</si>
  <si>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</si>
  <si>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</si>
  <si>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</si>
  <si>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</si>
  <si>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</si>
  <si>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</si>
  <si>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</si>
  <si>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</si>
  <si>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</si>
  <si>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</si>
  <si>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</si>
  <si>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</si>
  <si>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</si>
  <si>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</si>
  <si>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</si>
  <si>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</si>
  <si>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</si>
  <si>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</si>
  <si>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</si>
  <si>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</si>
  <si>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</si>
  <si>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</si>
  <si>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</si>
  <si>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</si>
  <si>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</si>
  <si>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</si>
  <si>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</si>
  <si>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</si>
  <si>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</si>
  <si>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</si>
  <si>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</si>
  <si>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</si>
  <si>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</si>
  <si>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</si>
  <si>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</si>
  <si>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</si>
  <si>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</si>
  <si>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</si>
  <si>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</si>
  <si>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</si>
  <si>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</si>
  <si>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</si>
  <si>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Education, research, development and implementation of privacy technology &amp; tools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</si>
  <si>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</si>
  <si>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</si>
  <si>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</si>
  <si>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</si>
  <si>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</si>
  <si>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</si>
  <si>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</si>
  <si>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</si>
  <si>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</si>
  <si>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</si>
  <si>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</si>
  <si>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</si>
  <si>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</si>
  <si>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</si>
  <si>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</si>
  <si>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</si>
  <si>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</si>
  <si>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</si>
  <si>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</si>
  <si>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</si>
  <si>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</si>
  <si>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</si>
  <si>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</si>
  <si>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</si>
  <si>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</si>
  <si>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</si>
  <si>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</si>
  <si>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</si>
  <si>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</si>
  <si>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</si>
  <si>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</si>
  <si>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</si>
  <si>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</si>
  <si>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</si>
  <si>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</si>
  <si>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</si>
  <si>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</si>
  <si>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</si>
  <si>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</si>
  <si>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</si>
  <si>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</si>
  <si>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</si>
  <si>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</si>
  <si>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</si>
  <si>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</si>
  <si>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</si>
  <si>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</si>
  <si>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</si>
  <si>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</si>
  <si>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</si>
  <si>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</si>
  <si>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</si>
  <si>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</si>
  <si>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</si>
  <si>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</si>
  <si>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</si>
  <si>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</si>
  <si>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</si>
  <si>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</si>
  <si>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</si>
  <si>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</si>
  <si>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</si>
  <si>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</si>
  <si>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</si>
  <si>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</si>
  <si>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</si>
  <si>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</si>
  <si>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</si>
  <si>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</si>
  <si>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Marketing and Design</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</si>
  <si>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</si>
  <si>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</si>
  <si>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</si>
  <si>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</si>
  <si>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</si>
  <si>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</si>
  <si>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</si>
  <si>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</si>
  <si>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</si>
  <si>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</si>
  <si>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</si>
  <si>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</si>
  <si>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</si>
  <si>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</si>
  <si>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</si>
  <si>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</si>
  <si>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</si>
  <si>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</si>
  <si>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</si>
  <si>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</si>
  <si>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</si>
  <si>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</si>
  <si>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</si>
  <si>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</si>
  <si>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</si>
  <si>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</si>
  <si>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</si>
  <si>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</si>
  <si>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</si>
  <si>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</si>
  <si>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</si>
  <si>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</si>
  <si>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</si>
  <si>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</si>
  <si>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</si>
  <si>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</si>
  <si>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</si>
  <si>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</si>
  <si>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</si>
  <si>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</si>
  <si>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</si>
  <si>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</si>
  <si>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</si>
  <si>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</si>
  <si>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</si>
  <si>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</si>
  <si>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</si>
  <si>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</si>
  <si>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</si>
  <si>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</si>
  <si>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</si>
  <si>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</si>
  <si>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</si>
  <si>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</si>
  <si>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</si>
  <si>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</si>
  <si>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</si>
  <si>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</si>
  <si>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</si>
  <si>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</si>
  <si>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</si>
  <si>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</si>
  <si>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</si>
  <si>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</si>
  <si>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</si>
  <si>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</si>
  <si>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</si>
  <si>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</si>
  <si>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</si>
  <si>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</si>
  <si>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</si>
  <si>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</si>
  <si>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</si>
  <si>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</si>
  <si>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</si>
  <si>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</si>
  <si>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</si>
  <si>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</si>
  <si>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</si>
  <si>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</si>
  <si>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</si>
  <si>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</si>
  <si>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</si>
  <si>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</si>
  <si>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</si>
  <si>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</si>
  <si>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</si>
  <si>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</si>
  <si>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</si>
  <si>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</si>
  <si>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</si>
  <si>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</si>
  <si>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</si>
  <si>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</si>
  <si>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</si>
  <si>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</si>
  <si>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</si>
  <si>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</si>
  <si>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</si>
  <si>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</si>
  <si>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Education, research, development and implementation of privacy technology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</si>
  <si>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</si>
  <si>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</si>
  <si>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Education, research, development and</t>
  </si>
  <si>
    <t>implementation</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</si>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</sst>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THE CALYX INSTITUTE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2022'!C40</f>
        <v>4917681</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2022'!C31</f>
        <v>12719</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4904962</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408746.8333</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2022'!E2+'Balance Sheet 2022'!E3</f>
        <v>5080267</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12.42888406</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2022'!E30</f>
        <v>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2022'!C40</f>
        <v>4917681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409806.75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0</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2022'!E13:E15)</f>
        <v>2074686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2022'!C40</f>
        <v>4917681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409806.75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5.062595967</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17.49148002</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2022'!E2:E7,'Revenues 2022'!F10:F15)</f>
        <v>4934108</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2022'!F44</f>
        <v>7813358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0.6314964705</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2022'!C7:C9)</f>
        <v>845438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2022'!C10:C12)</f>
        <v>226971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1072409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2022'!C40</f>
        <v>4917681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0.2180720954</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2022'!C10:C11)</f>
        <v>161109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2022'!C7:C9)</f>
        <v>845438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0.1905627616</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237</v>
      </c>
      <c r="D41" s="75">
        <f>'Expenses 2022'!D40</f>
        <v>4232530</v>
      </c>
      <c r="E41" s="165">
        <f t="shared" ref="E41:E44" si="1">D41/$D$44</f>
        <v>0.8606759975</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2022'!E40</f>
        <v>491273</v>
      </c>
      <c r="E42" s="165">
        <f t="shared" si="1"/>
        <v>0.09989932247</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2022'!F40</f>
        <v>193878</v>
      </c>
      <c r="E43" s="165">
        <f t="shared" si="1"/>
        <v>0.03942468005</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4917681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2022'!F9</f>
        <v>7672279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2022'!F40</f>
        <v>193878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39.57271583</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2022'!E2:E10)</f>
        <v>5080267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2022'!E19:E22)</f>
        <v>92539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54.89865894</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2022'!E18</f>
        <v>7269893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THE CALYX INSTITUTE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2436880.0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4107019.0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129987.0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6543899</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3912.0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239</v>
      </c>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3912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134884.0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6682695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THE CALYX INSTITUTE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95000</v>
      </c>
      <c r="D3" s="99">
        <v>95000.0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2654417</v>
      </c>
      <c r="D6" s="99">
        <v>2654417.0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355928</v>
      </c>
      <c r="D7" s="99">
        <v>167122.0</v>
      </c>
      <c r="E7" s="99">
        <v>135417.0</v>
      </c>
      <c r="F7" s="99">
        <v>53389.0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927460</v>
      </c>
      <c r="D9" s="99">
        <v>600137.0</v>
      </c>
      <c r="E9" s="99">
        <v>217850.0</v>
      </c>
      <c r="F9" s="99">
        <v>109473.0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231791</v>
      </c>
      <c r="D11" s="99">
        <v>135763.0</v>
      </c>
      <c r="E11" s="99">
        <v>66226.0</v>
      </c>
      <c r="F11" s="99">
        <v>29802.0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96411</v>
      </c>
      <c r="D12" s="99">
        <v>56469.0</v>
      </c>
      <c r="E12" s="99">
        <v>27546.0</v>
      </c>
      <c r="F12" s="99">
        <v>12396.0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37555</v>
      </c>
      <c r="D15" s="99">
        <v>0.0</v>
      </c>
      <c r="E15" s="99">
        <v>37555.0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33548</v>
      </c>
      <c r="D16" s="99">
        <v>0.0</v>
      </c>
      <c r="E16" s="99">
        <v>33548.0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31030</v>
      </c>
      <c r="D20" s="99">
        <v>0.0</v>
      </c>
      <c r="E20" s="99">
        <v>30830.0</v>
      </c>
      <c r="F20" s="99">
        <v>200.0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26096</v>
      </c>
      <c r="D21" s="99">
        <v>11245.0</v>
      </c>
      <c r="E21" s="99">
        <v>3606.0</v>
      </c>
      <c r="F21" s="99">
        <v>11245.0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283318</v>
      </c>
      <c r="D22" s="99">
        <v>83238.0</v>
      </c>
      <c r="E22" s="99">
        <v>181808.0</v>
      </c>
      <c r="F22" s="99">
        <v>18272.0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484398</v>
      </c>
      <c r="D23" s="99">
        <v>484398.0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71813</v>
      </c>
      <c r="D25" s="99">
        <v>42062.0</v>
      </c>
      <c r="E25" s="99">
        <v>20518.0</v>
      </c>
      <c r="F25" s="99">
        <v>9233.0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44502</v>
      </c>
      <c r="D26" s="99">
        <v>26065.0</v>
      </c>
      <c r="E26" s="99">
        <v>12715.0</v>
      </c>
      <c r="F26" s="99">
        <v>5722.0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61659</v>
      </c>
      <c r="D28" s="99">
        <v>46244.0</v>
      </c>
      <c r="E28" s="99">
        <v>0.0</v>
      </c>
      <c r="F28" s="99">
        <v>15415.0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25700</v>
      </c>
      <c r="D31" s="99">
        <v>25700.0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8520</v>
      </c>
      <c r="D32" s="99">
        <v>0.0</v>
      </c>
      <c r="E32" s="99">
        <v>8520.0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5469146</v>
      </c>
      <c r="D40" s="104">
        <f t="shared" si="2"/>
        <v>4427860</v>
      </c>
      <c r="E40" s="104">
        <f t="shared" si="2"/>
        <v>776139</v>
      </c>
      <c r="F40" s="104">
        <f t="shared" si="2"/>
        <v>265147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CALYX INSTITUTE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630318.0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5705614.0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158100.0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48132.0</v>
      </c>
      <c r="E12" s="109">
        <f>D11-D12</f>
        <v>109968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2140984.0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39329.0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8626213</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237832.0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237832</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8388381.0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8388381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8626213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THE CALYX INSTITUTE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2023'!C40</f>
        <v>5469146</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2023'!C31</f>
        <v>25700</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5443446</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453620.5</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2023'!E2+'Balance Sheet 2023'!E3</f>
        <v>6335932</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13.96747281</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2023'!E30</f>
        <v>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2023'!C40</f>
        <v>5469146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455762.1667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0</v>
      </c>
      <c r="E14" s="150" t="s">
        <v>185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2023'!E13:E15)</f>
        <v>2140984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2023'!C40</f>
        <v>5469146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455762.1667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4.697590446</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18.66506326</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2023'!E2:E7,'Revenues 2023'!F10:F15)</f>
        <v>4107019</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2023'!F44</f>
        <v>6682695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0.6145752574</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2023'!C7:C9)</f>
        <v>1283388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2023'!C10:C12)</f>
        <v>328202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1611590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2023'!C40</f>
        <v>5469146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0.2946694054</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2023'!C10:C11)</f>
        <v>231791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2023'!C7:C9)</f>
        <v>1283388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0.1806086702</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241</v>
      </c>
      <c r="D41" s="75">
        <f>'Expenses 2023'!D40</f>
        <v>4427860</v>
      </c>
      <c r="E41" s="165">
        <f t="shared" ref="E41:E44" si="1">D41/$D$44</f>
        <v>0.8096072038</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2023'!E40</f>
        <v>776139</v>
      </c>
      <c r="E42" s="165">
        <f t="shared" si="1"/>
        <v>0.1419122839</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2023'!F40</f>
        <v>265147</v>
      </c>
      <c r="E43" s="165">
        <f t="shared" si="1"/>
        <v>0.04848051231</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5469146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2023'!F9</f>
        <v>6543899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2023'!F40</f>
        <v>265147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24.68026793</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2023'!E2:E10)</f>
        <v>6335932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2023'!E19:E22)</f>
        <v>237832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26.64036799</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2023'!E18</f>
        <v>8626213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THE CALYX INSTITUTE</v>
      </c>
      <c r="B1" s="2" t="s">
        <v>242</v>
      </c>
      <c r="C1" s="139"/>
      <c r="D1" s="139"/>
      <c r="E1" s="139"/>
      <c r="F1" s="140"/>
      <c r="G1" s="140"/>
      <c r="H1" s="140"/>
      <c r="I1" s="43"/>
      <c r="J1" s="43"/>
      <c r="K1" s="43"/>
      <c r="L1" s="43"/>
      <c r="M1" s="43"/>
      <c r="N1" s="43"/>
      <c r="O1" s="43"/>
      <c r="P1" s="43"/>
      <c r="Q1" s="43"/>
      <c r="R1" s="43"/>
      <c r="S1" s="43"/>
      <c r="T1" s="43"/>
      <c r="U1" s="43"/>
      <c r="V1" s="43"/>
      <c r="W1" s="43"/>
      <c r="X1" s="43"/>
      <c r="Y1" s="43"/>
    </row>
    <row r="2">
      <c r="A2" s="141" t="s">
        <v>178</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179</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9"/>
      <c r="B5" s="49"/>
      <c r="C5" s="148" t="s">
        <v>178</v>
      </c>
      <c r="D5" s="177">
        <f>'Ratios 2021'!D8</f>
        <v>9.63743667</v>
      </c>
      <c r="E5" s="177">
        <f>'Ratios 2022'!D8</f>
        <v>12.42888406</v>
      </c>
      <c r="F5" s="177">
        <f>'Ratios 2023'!D8</f>
        <v>13.96747281</v>
      </c>
      <c r="G5" s="177">
        <f>average(D5:F5)</f>
        <v>12.01126451</v>
      </c>
      <c r="H5" s="150" t="s">
        <v>185</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186</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187</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9"/>
      <c r="B10" s="49"/>
      <c r="C10" s="148" t="s">
        <v>186</v>
      </c>
      <c r="D10" s="149">
        <f>'Ratios 2021'!D14</f>
        <v>0</v>
      </c>
      <c r="E10" s="149">
        <f>'Ratios 2022'!D14</f>
        <v>0</v>
      </c>
      <c r="F10" s="149">
        <f>'Ratios 2023'!D14</f>
        <v>0</v>
      </c>
      <c r="G10" s="177">
        <f>average(D10:F10)</f>
        <v>0</v>
      </c>
      <c r="H10" s="150" t="s">
        <v>185</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191</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192</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9"/>
      <c r="B15" s="49"/>
      <c r="C15" s="148" t="s">
        <v>194</v>
      </c>
      <c r="D15" s="180">
        <f>'Ratios 2021'!D20</f>
        <v>0</v>
      </c>
      <c r="E15" s="180">
        <f>'Ratios 2022'!D20</f>
        <v>5.062595967</v>
      </c>
      <c r="F15" s="180">
        <f>'Ratios 2023'!D20</f>
        <v>4.697590446</v>
      </c>
      <c r="G15" s="177">
        <f>average(D15:F15)</f>
        <v>3.253395471</v>
      </c>
      <c r="H15" s="150" t="s">
        <v>185</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196</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197</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9"/>
      <c r="B20" s="49"/>
      <c r="C20" s="148" t="s">
        <v>196</v>
      </c>
      <c r="D20" s="163">
        <f>'Ratios 2021'!D26</f>
        <v>0.5046306027</v>
      </c>
      <c r="E20" s="163">
        <f>'Ratios 2022'!D26</f>
        <v>0.6314964705</v>
      </c>
      <c r="F20" s="163">
        <f>'Ratios 2023'!D26</f>
        <v>0.6145752574</v>
      </c>
      <c r="G20" s="181">
        <f>average(D20:F20)</f>
        <v>0.5835674435</v>
      </c>
      <c r="H20" s="150" t="s">
        <v>200</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201</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202</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9"/>
      <c r="B25" s="49"/>
      <c r="C25" s="148" t="s">
        <v>206</v>
      </c>
      <c r="D25" s="163">
        <f>'Ratios 2021'!D33</f>
        <v>0.1529730468</v>
      </c>
      <c r="E25" s="163">
        <f>'Ratios 2022'!D33</f>
        <v>0.2180720954</v>
      </c>
      <c r="F25" s="163">
        <f>'Ratios 2023'!D33</f>
        <v>0.2946694054</v>
      </c>
      <c r="G25" s="181">
        <f>average(D25:F25)</f>
        <v>0.2219048492</v>
      </c>
      <c r="H25" s="150" t="s">
        <v>207</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208</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209</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9"/>
      <c r="B30" s="49"/>
      <c r="C30" s="148" t="s">
        <v>208</v>
      </c>
      <c r="D30" s="163">
        <f>'Ratios 2021'!D38</f>
        <v>0.1873211378</v>
      </c>
      <c r="E30" s="163">
        <f>'Ratios 2022'!D38</f>
        <v>0.1905627616</v>
      </c>
      <c r="F30" s="163">
        <f>'Ratios 2023'!D38</f>
        <v>0.1806086702</v>
      </c>
      <c r="G30" s="181">
        <f>average(D30:F30)</f>
        <v>0.1861641899</v>
      </c>
      <c r="H30" s="150" t="s">
        <v>211</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212</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213</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9"/>
      <c r="B35" s="49"/>
      <c r="C35" s="148" t="s">
        <v>247</v>
      </c>
      <c r="D35" s="163">
        <f>'Ratios 2021'!E41</f>
        <v>0.9145142676</v>
      </c>
      <c r="E35" s="163">
        <f>'Ratios 2022'!E41</f>
        <v>0.8606759975</v>
      </c>
      <c r="F35" s="163">
        <f>'Ratios 2023'!E41</f>
        <v>0.8096072038</v>
      </c>
      <c r="G35" s="181">
        <f t="shared" ref="G35:G37" si="1">average(D35:F35)</f>
        <v>0.8615991563</v>
      </c>
      <c r="H35" s="181"/>
      <c r="I35" s="43"/>
      <c r="J35" s="43"/>
      <c r="K35" s="43"/>
      <c r="L35" s="43"/>
      <c r="M35" s="43"/>
      <c r="N35" s="43"/>
      <c r="O35" s="43"/>
      <c r="P35" s="43"/>
      <c r="Q35" s="43"/>
      <c r="R35" s="43"/>
      <c r="S35" s="43"/>
      <c r="T35" s="43"/>
      <c r="U35" s="43"/>
      <c r="V35" s="43"/>
      <c r="W35" s="43"/>
      <c r="X35" s="43"/>
      <c r="Y35" s="43"/>
    </row>
    <row r="36">
      <c r="A36" s="139"/>
      <c r="B36" s="52"/>
      <c r="C36" s="148" t="s">
        <v>215</v>
      </c>
      <c r="D36" s="163">
        <f>'Ratios 2021'!E42</f>
        <v>0.05236036403</v>
      </c>
      <c r="E36" s="163">
        <f>'Ratios 2022'!E42</f>
        <v>0.09989932247</v>
      </c>
      <c r="F36" s="163">
        <f>'Ratios 2023'!E42</f>
        <v>0.1419122839</v>
      </c>
      <c r="G36" s="181">
        <f t="shared" si="1"/>
        <v>0.09805732348</v>
      </c>
      <c r="H36" s="181"/>
      <c r="I36" s="43"/>
      <c r="J36" s="43"/>
      <c r="K36" s="43"/>
      <c r="L36" s="43"/>
      <c r="M36" s="43"/>
      <c r="N36" s="43"/>
      <c r="O36" s="43"/>
      <c r="P36" s="43"/>
      <c r="Q36" s="43"/>
      <c r="R36" s="43"/>
      <c r="S36" s="43"/>
      <c r="T36" s="43"/>
      <c r="U36" s="43"/>
      <c r="V36" s="43"/>
      <c r="W36" s="43"/>
      <c r="X36" s="43"/>
      <c r="Y36" s="43"/>
    </row>
    <row r="37">
      <c r="A37" s="139"/>
      <c r="B37" s="182"/>
      <c r="C37" s="148" t="s">
        <v>216</v>
      </c>
      <c r="D37" s="163">
        <f>'Ratios 2021'!E43</f>
        <v>0.0331253684</v>
      </c>
      <c r="E37" s="163">
        <f>'Ratios 2022'!E43</f>
        <v>0.03942468005</v>
      </c>
      <c r="F37" s="163">
        <f>'Ratios 2023'!E43</f>
        <v>0.04848051231</v>
      </c>
      <c r="G37" s="181">
        <f t="shared" si="1"/>
        <v>0.04034352026</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217</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218</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9"/>
      <c r="B42" s="49"/>
      <c r="C42" s="148" t="s">
        <v>221</v>
      </c>
      <c r="D42" s="166">
        <f>'Ratios 2021'!D49</f>
        <v>40.44559585</v>
      </c>
      <c r="E42" s="166">
        <f>'Ratios 2022'!D49</f>
        <v>39.57271583</v>
      </c>
      <c r="F42" s="166">
        <f>'Ratios 2023'!D49</f>
        <v>24.68026793</v>
      </c>
      <c r="G42" s="183">
        <f>average(D42:F42)</f>
        <v>34.89952654</v>
      </c>
      <c r="H42" s="150" t="s">
        <v>222</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223</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224</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9"/>
      <c r="B47" s="49"/>
      <c r="C47" s="148" t="s">
        <v>227</v>
      </c>
      <c r="D47" s="149">
        <f>'Ratios 2021'!D54</f>
        <v>169.5112008</v>
      </c>
      <c r="E47" s="149">
        <f>'Ratios 2022'!D54</f>
        <v>54.89865894</v>
      </c>
      <c r="F47" s="149">
        <f>'Ratios 2023'!D54</f>
        <v>26.64036799</v>
      </c>
      <c r="G47" s="177">
        <f>average(D47:F47)</f>
        <v>83.68340923</v>
      </c>
      <c r="H47" s="150" t="s">
        <v>228</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229</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230</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9"/>
      <c r="B52" s="49"/>
      <c r="C52" s="148" t="s">
        <v>233</v>
      </c>
      <c r="D52" s="184">
        <f>'Ratios 2021'!D59</f>
        <v>0</v>
      </c>
      <c r="E52" s="184">
        <f>'Ratios 2022'!D59</f>
        <v>0</v>
      </c>
      <c r="F52" s="184">
        <f>'Ratios 2023'!D59</f>
        <v>0</v>
      </c>
      <c r="G52" s="185">
        <f>average(D52:F52)</f>
        <v>0</v>
      </c>
      <c r="H52" s="150" t="s">
        <v>234</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THE CALYX INSTITUTE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CALYX INSTITUTE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3213033.0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3383037.0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171926.0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6596070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39105.0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68175.0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107280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637.0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6703987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THE CALYX INSTITUTE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126490</v>
      </c>
      <c r="D3" s="99">
        <v>126490.0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3266569</v>
      </c>
      <c r="D6" s="99">
        <v>3266569.0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155633</v>
      </c>
      <c r="D7" s="99">
        <v>93380.0</v>
      </c>
      <c r="E7" s="99">
        <v>38908.0</v>
      </c>
      <c r="F7" s="99">
        <v>23345.0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437701</v>
      </c>
      <c r="D9" s="99">
        <v>288338.0</v>
      </c>
      <c r="E9" s="99">
        <v>90707.0</v>
      </c>
      <c r="F9" s="99">
        <v>58656.0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111144</v>
      </c>
      <c r="D11" s="99">
        <v>84384.0</v>
      </c>
      <c r="E11" s="99">
        <v>15977.0</v>
      </c>
      <c r="F11" s="99">
        <v>10783.0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48649</v>
      </c>
      <c r="D12" s="99">
        <v>36936.0</v>
      </c>
      <c r="E12" s="99">
        <v>6993.0</v>
      </c>
      <c r="F12" s="99">
        <v>4720.0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3991</v>
      </c>
      <c r="D15" s="99">
        <v>0.0</v>
      </c>
      <c r="E15" s="99">
        <v>3991.0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37823</v>
      </c>
      <c r="D16" s="99">
        <v>0.0</v>
      </c>
      <c r="E16" s="99">
        <v>37823.0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57352</v>
      </c>
      <c r="D21" s="99">
        <v>28676.0</v>
      </c>
      <c r="E21" s="99">
        <v>0.0</v>
      </c>
      <c r="F21" s="99">
        <v>28676.0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322036</v>
      </c>
      <c r="D22" s="99">
        <v>244499.0</v>
      </c>
      <c r="E22" s="99">
        <v>46293.0</v>
      </c>
      <c r="F22" s="99">
        <v>31244.0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284540</v>
      </c>
      <c r="D23" s="99">
        <v>284540.0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56673</v>
      </c>
      <c r="D25" s="99">
        <v>43028.0</v>
      </c>
      <c r="E25" s="99">
        <v>8147.0</v>
      </c>
      <c r="F25" s="99">
        <v>5498.0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132</v>
      </c>
      <c r="D26" s="99">
        <v>100.0</v>
      </c>
      <c r="E26" s="99">
        <v>19.0</v>
      </c>
      <c r="F26" s="99">
        <v>13.0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599</v>
      </c>
      <c r="D28" s="99">
        <v>449.0</v>
      </c>
      <c r="E28" s="99">
        <v>0.0</v>
      </c>
      <c r="F28" s="99">
        <v>150.0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5008</v>
      </c>
      <c r="D31" s="99">
        <v>5008.0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2576</v>
      </c>
      <c r="D32" s="99">
        <v>0.0</v>
      </c>
      <c r="E32" s="99">
        <v>2576.0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6350</v>
      </c>
      <c r="D34" s="99">
        <v>0.0</v>
      </c>
      <c r="E34" s="99">
        <v>6350.0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4923266</v>
      </c>
      <c r="D40" s="104">
        <f t="shared" si="2"/>
        <v>4502397</v>
      </c>
      <c r="E40" s="104">
        <f t="shared" si="2"/>
        <v>257784</v>
      </c>
      <c r="F40" s="104">
        <f t="shared" si="2"/>
        <v>163085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CALYX INSTITUTE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3949950.0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41298.0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9714.0</v>
      </c>
      <c r="E12" s="109">
        <f>D11-D12</f>
        <v>31584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409903.0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4391437</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23302.0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23302</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4368135.0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4368135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4391437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THE CALYX INSTITUTE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179</v>
      </c>
      <c r="C3" s="145" t="s">
        <v>180</v>
      </c>
      <c r="D3" s="146">
        <f>'Expenses 2021'!C40</f>
        <v>4923266</v>
      </c>
      <c r="E3" s="147"/>
      <c r="F3" s="43"/>
      <c r="G3" s="43"/>
      <c r="H3" s="43"/>
      <c r="I3" s="43"/>
      <c r="J3" s="43"/>
      <c r="K3" s="43"/>
      <c r="L3" s="43"/>
      <c r="M3" s="43"/>
      <c r="N3" s="43"/>
      <c r="O3" s="43"/>
      <c r="P3" s="43"/>
      <c r="Q3" s="43"/>
      <c r="R3" s="43"/>
      <c r="S3" s="43"/>
      <c r="T3" s="43"/>
      <c r="U3" s="43"/>
      <c r="V3" s="43"/>
      <c r="W3" s="43"/>
      <c r="X3" s="43"/>
      <c r="Y3" s="43"/>
    </row>
    <row r="4">
      <c r="A4" s="139"/>
      <c r="B4" s="49"/>
      <c r="C4" s="145" t="s">
        <v>181</v>
      </c>
      <c r="D4" s="146">
        <f>'Expenses 2021'!C31</f>
        <v>5008</v>
      </c>
      <c r="E4" s="147"/>
      <c r="F4" s="43"/>
      <c r="G4" s="43"/>
      <c r="H4" s="43"/>
      <c r="I4" s="43"/>
      <c r="J4" s="43"/>
      <c r="K4" s="43"/>
      <c r="L4" s="43"/>
      <c r="M4" s="43"/>
      <c r="N4" s="43"/>
      <c r="O4" s="43"/>
      <c r="P4" s="43"/>
      <c r="Q4" s="43"/>
      <c r="R4" s="43"/>
      <c r="S4" s="43"/>
      <c r="T4" s="43"/>
      <c r="U4" s="43"/>
      <c r="V4" s="43"/>
      <c r="W4" s="43"/>
      <c r="X4" s="43"/>
      <c r="Y4" s="43"/>
    </row>
    <row r="5">
      <c r="A5" s="139"/>
      <c r="B5" s="49"/>
      <c r="C5" s="145" t="s">
        <v>182</v>
      </c>
      <c r="D5" s="146">
        <f>D3-D4</f>
        <v>4918258</v>
      </c>
      <c r="E5" s="147"/>
      <c r="F5" s="43"/>
      <c r="G5" s="43"/>
      <c r="H5" s="43"/>
      <c r="I5" s="43"/>
      <c r="J5" s="43"/>
      <c r="K5" s="43"/>
      <c r="L5" s="43"/>
      <c r="M5" s="43"/>
      <c r="N5" s="43"/>
      <c r="O5" s="43"/>
      <c r="P5" s="43"/>
      <c r="Q5" s="43"/>
      <c r="R5" s="43"/>
      <c r="S5" s="43"/>
      <c r="T5" s="43"/>
      <c r="U5" s="43"/>
      <c r="V5" s="43"/>
      <c r="W5" s="43"/>
      <c r="X5" s="43"/>
      <c r="Y5" s="43"/>
    </row>
    <row r="6">
      <c r="A6" s="139"/>
      <c r="B6" s="49"/>
      <c r="C6" s="145" t="s">
        <v>183</v>
      </c>
      <c r="D6" s="146">
        <f>D5/12</f>
        <v>409854.8333</v>
      </c>
      <c r="E6" s="147"/>
      <c r="F6" s="43"/>
      <c r="G6" s="43"/>
      <c r="H6" s="43"/>
      <c r="I6" s="43"/>
      <c r="J6" s="43"/>
      <c r="K6" s="43"/>
      <c r="L6" s="43"/>
      <c r="M6" s="43"/>
      <c r="N6" s="43"/>
      <c r="O6" s="43"/>
      <c r="P6" s="43"/>
      <c r="Q6" s="43"/>
      <c r="R6" s="43"/>
      <c r="S6" s="43"/>
      <c r="T6" s="43"/>
      <c r="U6" s="43"/>
      <c r="V6" s="43"/>
      <c r="W6" s="43"/>
      <c r="X6" s="43"/>
      <c r="Y6" s="43"/>
    </row>
    <row r="7">
      <c r="A7" s="139"/>
      <c r="B7" s="49"/>
      <c r="C7" s="145" t="s">
        <v>184</v>
      </c>
      <c r="D7" s="75">
        <f>'Balance Sheet 2021'!E2+'Balance Sheet 2021'!E3</f>
        <v>3949950</v>
      </c>
      <c r="E7" s="147"/>
      <c r="F7" s="43"/>
      <c r="G7" s="43"/>
      <c r="H7" s="43"/>
      <c r="I7" s="43"/>
      <c r="J7" s="43"/>
      <c r="K7" s="43"/>
      <c r="L7" s="43"/>
      <c r="M7" s="43"/>
      <c r="N7" s="43"/>
      <c r="O7" s="43"/>
      <c r="P7" s="43"/>
      <c r="Q7" s="43"/>
      <c r="R7" s="43"/>
      <c r="S7" s="43"/>
      <c r="T7" s="43"/>
      <c r="U7" s="43"/>
      <c r="V7" s="43"/>
      <c r="W7" s="43"/>
      <c r="X7" s="43"/>
      <c r="Y7" s="43"/>
    </row>
    <row r="8">
      <c r="A8" s="139"/>
      <c r="B8" s="49"/>
      <c r="C8" s="148" t="s">
        <v>178</v>
      </c>
      <c r="D8" s="149">
        <f>D7/D6</f>
        <v>9.63743667</v>
      </c>
      <c r="E8" s="150" t="s">
        <v>185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187</v>
      </c>
      <c r="C11" s="145" t="s">
        <v>188</v>
      </c>
      <c r="D11" s="75">
        <f>'Balance Sheet 2021'!E30</f>
        <v>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189</v>
      </c>
      <c r="D12" s="75">
        <f>'Expenses 2021'!C40</f>
        <v>4923266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190</v>
      </c>
      <c r="D13" s="146">
        <f>D12/12</f>
        <v>410272.1667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186</v>
      </c>
      <c r="D14" s="149">
        <f>D11/D13</f>
        <v>0</v>
      </c>
      <c r="E14" s="150" t="s">
        <v>185</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192</v>
      </c>
      <c r="C17" s="145" t="s">
        <v>193</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189</v>
      </c>
      <c r="D18" s="75">
        <f>'Expenses 2021'!C40</f>
        <v>4923266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190</v>
      </c>
      <c r="D19" s="146">
        <f>D18/12</f>
        <v>410272.1667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194</v>
      </c>
      <c r="D20" s="149">
        <f>D17/D19</f>
        <v>0</v>
      </c>
      <c r="E20" s="150" t="s">
        <v>185</v>
      </c>
      <c r="F20" s="43"/>
      <c r="G20" s="43"/>
      <c r="H20" s="43"/>
      <c r="I20" s="43"/>
      <c r="J20" s="43"/>
      <c r="K20" s="43"/>
      <c r="L20" s="43"/>
      <c r="M20" s="43"/>
      <c r="N20" s="43"/>
      <c r="O20" s="43"/>
      <c r="P20" s="43"/>
      <c r="Q20" s="43"/>
      <c r="R20" s="43"/>
      <c r="S20" s="43"/>
      <c r="T20" s="43"/>
      <c r="U20" s="43"/>
      <c r="V20" s="43"/>
      <c r="W20" s="43"/>
      <c r="X20" s="43"/>
      <c r="Y20" s="43"/>
    </row>
    <row r="21">
      <c r="A21" s="139"/>
      <c r="B21" s="49"/>
      <c r="C21" s="154" t="s">
        <v>195</v>
      </c>
      <c r="D21" s="155">
        <f>D20+D8</f>
        <v>9.63743667</v>
      </c>
      <c r="E21" s="156" t="s">
        <v>185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197</v>
      </c>
      <c r="C24" s="160"/>
      <c r="D24" s="161">
        <f>max('Revenues 2021'!E2:E7,'Revenues 2021'!F10:F15)</f>
        <v>3383037</v>
      </c>
      <c r="E24" s="162" t="s">
        <v>198</v>
      </c>
      <c r="F24" s="43"/>
      <c r="G24" s="43"/>
      <c r="H24" s="43"/>
      <c r="I24" s="43"/>
      <c r="J24" s="43"/>
      <c r="K24" s="43"/>
      <c r="L24" s="43"/>
      <c r="M24" s="43"/>
      <c r="N24" s="43"/>
      <c r="O24" s="43"/>
      <c r="P24" s="43"/>
      <c r="Q24" s="43"/>
      <c r="R24" s="43"/>
      <c r="S24" s="43"/>
      <c r="T24" s="43"/>
      <c r="U24" s="43"/>
      <c r="V24" s="43"/>
      <c r="W24" s="43"/>
      <c r="X24" s="43"/>
      <c r="Y24" s="43"/>
    </row>
    <row r="25">
      <c r="A25" s="139"/>
      <c r="B25" s="49"/>
      <c r="C25" s="145" t="s">
        <v>199</v>
      </c>
      <c r="D25" s="146">
        <f>'Revenues 2021'!F44</f>
        <v>6703987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196</v>
      </c>
      <c r="D26" s="163">
        <f>D24/D25</f>
        <v>0.5046306027</v>
      </c>
      <c r="E26" s="150" t="s">
        <v>200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202</v>
      </c>
      <c r="C29" s="145" t="s">
        <v>203</v>
      </c>
      <c r="D29" s="75">
        <f>SUM('Expenses 2021'!C7:C9)</f>
        <v>593334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204</v>
      </c>
      <c r="D30" s="75">
        <f>SUM('Expenses 2021'!C10:C12)</f>
        <v>159793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205</v>
      </c>
      <c r="D31" s="75">
        <f>sum(D29:D30)</f>
        <v>753127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180</v>
      </c>
      <c r="D32" s="75">
        <f>'Expenses 2021'!C40</f>
        <v>4923266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206</v>
      </c>
      <c r="D33" s="163">
        <f>D31/D32</f>
        <v>0.1529730468</v>
      </c>
      <c r="E33" s="150" t="s">
        <v>207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209</v>
      </c>
      <c r="C36" s="145" t="s">
        <v>210</v>
      </c>
      <c r="D36" s="75">
        <f>SUM('Expenses 2021'!C10:C11)</f>
        <v>111144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203</v>
      </c>
      <c r="D37" s="75">
        <f>SUM('Expenses 2021'!C7:C9)</f>
        <v>593334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208</v>
      </c>
      <c r="D38" s="163">
        <f>D36/D37</f>
        <v>0.1873211378</v>
      </c>
      <c r="E38" s="150" t="s">
        <v>211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213</v>
      </c>
      <c r="C41" s="148" t="s">
        <v>214</v>
      </c>
      <c r="D41" s="75">
        <f>'Expenses 2021'!D40</f>
        <v>4502397</v>
      </c>
      <c r="E41" s="165">
        <f t="shared" ref="E41:E44" si="1">D41/$D$44</f>
        <v>0.9145142676</v>
      </c>
      <c r="F41" s="43"/>
      <c r="G41" s="43"/>
      <c r="H41" s="43"/>
      <c r="I41" s="43"/>
      <c r="J41" s="43"/>
      <c r="K41" s="43"/>
      <c r="L41" s="43"/>
      <c r="M41" s="43"/>
      <c r="N41" s="43"/>
      <c r="O41" s="43"/>
      <c r="P41" s="43"/>
      <c r="Q41" s="43"/>
      <c r="R41" s="43"/>
      <c r="S41" s="43"/>
      <c r="T41" s="43"/>
      <c r="U41" s="43"/>
      <c r="V41" s="43"/>
      <c r="W41" s="43"/>
      <c r="X41" s="43"/>
      <c r="Y41" s="43"/>
    </row>
    <row r="42">
      <c r="A42" s="139"/>
      <c r="B42" s="49"/>
      <c r="C42" s="148" t="s">
        <v>215</v>
      </c>
      <c r="D42" s="146">
        <f>'Expenses 2021'!E40</f>
        <v>257784</v>
      </c>
      <c r="E42" s="165">
        <f t="shared" si="1"/>
        <v>0.05236036403</v>
      </c>
      <c r="F42" s="43"/>
      <c r="G42" s="43"/>
      <c r="H42" s="43"/>
      <c r="I42" s="43"/>
      <c r="J42" s="43"/>
      <c r="K42" s="43"/>
      <c r="L42" s="43"/>
      <c r="M42" s="43"/>
      <c r="N42" s="43"/>
      <c r="O42" s="43"/>
      <c r="P42" s="43"/>
      <c r="Q42" s="43"/>
      <c r="R42" s="43"/>
      <c r="S42" s="43"/>
      <c r="T42" s="43"/>
      <c r="U42" s="43"/>
      <c r="V42" s="43"/>
      <c r="W42" s="43"/>
      <c r="X42" s="43"/>
      <c r="Y42" s="43"/>
    </row>
    <row r="43">
      <c r="A43" s="139"/>
      <c r="B43" s="49"/>
      <c r="C43" s="148" t="s">
        <v>216</v>
      </c>
      <c r="D43" s="146">
        <f>'Expenses 2021'!F40</f>
        <v>163085</v>
      </c>
      <c r="E43" s="165">
        <f t="shared" si="1"/>
        <v>0.0331253684</v>
      </c>
      <c r="F43" s="43"/>
      <c r="G43" s="43"/>
      <c r="H43" s="43"/>
      <c r="I43" s="43"/>
      <c r="J43" s="43"/>
      <c r="K43" s="43"/>
      <c r="L43" s="43"/>
      <c r="M43" s="43"/>
      <c r="N43" s="43"/>
      <c r="O43" s="43"/>
      <c r="P43" s="43"/>
      <c r="Q43" s="43"/>
      <c r="R43" s="43"/>
      <c r="S43" s="43"/>
      <c r="T43" s="43"/>
      <c r="U43" s="43"/>
      <c r="V43" s="43"/>
      <c r="W43" s="43"/>
      <c r="X43" s="43"/>
      <c r="Y43" s="43"/>
    </row>
    <row r="44">
      <c r="A44" s="139"/>
      <c r="B44" s="49"/>
      <c r="C44" s="145" t="s">
        <v>180</v>
      </c>
      <c r="D44" s="146">
        <f>sum(D41:D43)</f>
        <v>4923266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218</v>
      </c>
      <c r="C47" s="145" t="s">
        <v>219</v>
      </c>
      <c r="D47" s="146">
        <f>'Revenues 2021'!F9</f>
        <v>6596070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220</v>
      </c>
      <c r="D48" s="146">
        <f>'Expenses 2021'!F40</f>
        <v>163085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221</v>
      </c>
      <c r="D49" s="166">
        <f>if(D48=0, "$0",D47/D48)</f>
        <v>40.44559585</v>
      </c>
      <c r="E49" s="150" t="s">
        <v>222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224</v>
      </c>
      <c r="C52" s="145" t="s">
        <v>225</v>
      </c>
      <c r="D52" s="146">
        <f>sum('Balance Sheet 2021'!E2:E10)</f>
        <v>3949950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226</v>
      </c>
      <c r="D53" s="146">
        <f>sum('Balance Sheet 2021'!E19:E22)</f>
        <v>23302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227</v>
      </c>
      <c r="D54" s="168">
        <f>D52/D53</f>
        <v>169.5112008</v>
      </c>
      <c r="E54" s="150" t="s">
        <v>228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230</v>
      </c>
      <c r="C57" s="145" t="s">
        <v>231</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232</v>
      </c>
      <c r="D58" s="146">
        <f>'Balance Sheet 2021'!E18</f>
        <v>4391437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233</v>
      </c>
      <c r="D59" s="169">
        <f>D57/D58</f>
        <v>0</v>
      </c>
      <c r="E59" s="150" t="s">
        <v>234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CALYX INSTITUTE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2738171.0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4934108.0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109591.0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7672279</v>
      </c>
      <c r="G9" s="58"/>
      <c r="H9" s="58"/>
      <c r="I9" s="58"/>
      <c r="J9" s="58"/>
      <c r="K9" s="58"/>
      <c r="L9" s="58"/>
      <c r="M9" s="58"/>
      <c r="N9" s="58"/>
      <c r="O9" s="58"/>
      <c r="P9" s="58"/>
      <c r="Q9" s="58"/>
      <c r="R9" s="58"/>
      <c r="S9" s="58"/>
      <c r="T9" s="58"/>
      <c r="U9" s="58"/>
      <c r="V9" s="58"/>
      <c r="W9" s="58"/>
      <c r="X9" s="58"/>
      <c r="Y9" s="58"/>
      <c r="Z9" s="58"/>
    </row>
    <row r="10">
      <c r="A10" s="44" t="s">
        <v>62</v>
      </c>
      <c r="B10" s="59" t="s">
        <v>63</v>
      </c>
      <c r="C10" s="60" t="s">
        <v>235</v>
      </c>
      <c r="D10" s="15"/>
      <c r="E10" s="15"/>
      <c r="F10" s="48">
        <v>4500.0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235</v>
      </c>
      <c r="D11" s="61"/>
      <c r="E11" s="61"/>
      <c r="F11" s="62">
        <v>46283.0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50783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32706.0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57590.0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57590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7813358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THE CALYX INSTITUTE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188990</v>
      </c>
      <c r="D3" s="99">
        <v>188990.0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2754738</v>
      </c>
      <c r="D6" s="99">
        <v>2754738.0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168200</v>
      </c>
      <c r="D7" s="99">
        <v>100920.0</v>
      </c>
      <c r="E7" s="99">
        <v>42050.0</v>
      </c>
      <c r="F7" s="99">
        <v>25230.0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677238</v>
      </c>
      <c r="D9" s="99">
        <v>459779.0</v>
      </c>
      <c r="E9" s="99">
        <v>134052.0</v>
      </c>
      <c r="F9" s="99">
        <v>83407.0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161109</v>
      </c>
      <c r="D11" s="99">
        <v>118467.0</v>
      </c>
      <c r="E11" s="99">
        <v>25509.0</v>
      </c>
      <c r="F11" s="99">
        <v>17133.0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65862</v>
      </c>
      <c r="D12" s="99">
        <v>48430.0</v>
      </c>
      <c r="E12" s="99">
        <v>10428.0</v>
      </c>
      <c r="F12" s="99">
        <v>7004.0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29980</v>
      </c>
      <c r="D15" s="99">
        <v>0.0</v>
      </c>
      <c r="E15" s="99">
        <v>29980.0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63301</v>
      </c>
      <c r="D16" s="99">
        <v>0.0</v>
      </c>
      <c r="E16" s="99">
        <v>63301.0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1950</v>
      </c>
      <c r="D20" s="99">
        <v>0.0</v>
      </c>
      <c r="E20" s="99">
        <v>1950.0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62454</v>
      </c>
      <c r="D21" s="99">
        <v>31227.0</v>
      </c>
      <c r="E21" s="99">
        <v>0.0</v>
      </c>
      <c r="F21" s="99">
        <v>31227.0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298566</v>
      </c>
      <c r="D22" s="99">
        <v>115711.0</v>
      </c>
      <c r="E22" s="99">
        <v>166120.0</v>
      </c>
      <c r="F22" s="99">
        <v>16735.0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321554</v>
      </c>
      <c r="D23" s="99">
        <v>321554.0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63643</v>
      </c>
      <c r="D25" s="99">
        <v>46798.0</v>
      </c>
      <c r="E25" s="99">
        <v>10077.0</v>
      </c>
      <c r="F25" s="99">
        <v>6768.0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33807</v>
      </c>
      <c r="D26" s="99">
        <v>24859.0</v>
      </c>
      <c r="E26" s="99">
        <v>5353.0</v>
      </c>
      <c r="F26" s="99">
        <v>3595.0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11117</v>
      </c>
      <c r="D28" s="99">
        <v>8338.0</v>
      </c>
      <c r="E28" s="99">
        <v>0.0</v>
      </c>
      <c r="F28" s="99">
        <v>2779.0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12719</v>
      </c>
      <c r="D31" s="99">
        <v>12719.0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2453</v>
      </c>
      <c r="D32" s="99">
        <v>0.0</v>
      </c>
      <c r="E32" s="99">
        <v>2453.0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4">
        <f t="shared" ref="C40:F40" si="2">sum(C3:C39)</f>
        <v>4917681</v>
      </c>
      <c r="D40" s="104">
        <f t="shared" si="2"/>
        <v>4232530</v>
      </c>
      <c r="E40" s="104">
        <f t="shared" si="2"/>
        <v>491273</v>
      </c>
      <c r="F40" s="104">
        <f t="shared" si="2"/>
        <v>193878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CALYX INSTITUTE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137</v>
      </c>
      <c r="B2" s="45">
        <v>1.0</v>
      </c>
      <c r="C2" s="46" t="s">
        <v>138</v>
      </c>
      <c r="D2" s="111"/>
      <c r="E2" s="112">
        <v>426048.0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3"/>
      <c r="E3" s="112">
        <v>4654219.0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2">
        <v>79432.0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2">
        <v>22432.0</v>
      </c>
      <c r="E12" s="109">
        <f>D11-D12</f>
        <v>57000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3"/>
      <c r="E14" s="112">
        <v>2074686.0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3"/>
      <c r="E17" s="112">
        <v>57940.0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4"/>
      <c r="E18" s="115">
        <f>sum(E2:E17)</f>
        <v>7269893</v>
      </c>
      <c r="F18" s="43"/>
      <c r="G18" s="43"/>
      <c r="H18" s="43"/>
      <c r="I18" s="43"/>
      <c r="J18" s="43"/>
      <c r="K18" s="43"/>
      <c r="L18" s="43"/>
      <c r="M18" s="43"/>
      <c r="N18" s="43"/>
      <c r="O18" s="43"/>
      <c r="P18" s="43"/>
      <c r="Q18" s="43"/>
      <c r="R18" s="43"/>
      <c r="S18" s="43"/>
      <c r="T18" s="43"/>
      <c r="U18" s="43"/>
      <c r="V18" s="43"/>
      <c r="W18" s="43"/>
      <c r="X18" s="43"/>
      <c r="Y18" s="43"/>
      <c r="Z18" s="43"/>
    </row>
    <row r="19">
      <c r="A19" s="44" t="s">
        <v>157</v>
      </c>
      <c r="B19" s="116">
        <v>17.0</v>
      </c>
      <c r="C19" s="117" t="s">
        <v>158</v>
      </c>
      <c r="D19" s="118"/>
      <c r="E19" s="112">
        <v>92539.0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160</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167</v>
      </c>
      <c r="D28" s="126"/>
      <c r="E28" s="127">
        <f>sum(E19:E27)</f>
        <v>92539</v>
      </c>
      <c r="F28" s="43"/>
      <c r="G28" s="43"/>
      <c r="H28" s="43"/>
      <c r="I28" s="43"/>
      <c r="J28" s="43"/>
      <c r="K28" s="43"/>
      <c r="L28" s="43"/>
      <c r="M28" s="43"/>
      <c r="N28" s="43"/>
      <c r="O28" s="43"/>
      <c r="P28" s="43"/>
      <c r="Q28" s="43"/>
      <c r="R28" s="43"/>
      <c r="S28" s="43"/>
      <c r="T28" s="43"/>
      <c r="U28" s="43"/>
      <c r="V28" s="43"/>
      <c r="W28" s="43"/>
      <c r="X28" s="43"/>
      <c r="Y28" s="43"/>
      <c r="Z28" s="43"/>
    </row>
    <row r="29">
      <c r="A29" s="65" t="s">
        <v>168</v>
      </c>
      <c r="B29" s="128"/>
      <c r="C29" s="129" t="s">
        <v>169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170</v>
      </c>
      <c r="D30" s="118"/>
      <c r="E30" s="112">
        <v>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171</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175</v>
      </c>
      <c r="D35" s="122"/>
      <c r="E35" s="119">
        <v>7177354.0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176</v>
      </c>
      <c r="D36" s="132"/>
      <c r="E36" s="127">
        <f>sum(E30:E35)</f>
        <v>7177354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177</v>
      </c>
      <c r="D37" s="136"/>
      <c r="E37" s="137">
        <f>E36+E28</f>
        <v>7269893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