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<sst xmlns="http://schemas.openxmlformats.org/spreadsheetml/2006/main" count="887" uniqueCount="260">
  <si>
    <t>ASPEN INSTITUTE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</si>
  <si>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</si>
  <si>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</si>
  <si>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</si>
  <si>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</si>
  <si>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</si>
  <si>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</si>
  <si>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</si>
  <si>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</si>
  <si>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</si>
  <si>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</si>
  <si>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</si>
  <si>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</si>
  <si>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</si>
  <si>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</si>
  <si>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</si>
  <si>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</si>
  <si>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</si>
  <si>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</si>
  <si>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</si>
  <si>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</si>
  <si>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</si>
  <si>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</si>
  <si>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</si>
  <si>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</si>
  <si>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</si>
  <si>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</si>
  <si>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</si>
  <si>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</si>
  <si>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</si>
  <si>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</si>
  <si>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</si>
  <si>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</si>
  <si>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</si>
  <si>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</si>
  <si>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</si>
  <si>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</si>
  <si>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</si>
  <si>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</si>
  <si>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</si>
  <si>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</si>
  <si>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</si>
  <si>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</si>
  <si>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</si>
  <si>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</si>
  <si>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</si>
  <si>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</si>
  <si>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</si>
  <si>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</si>
  <si>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</si>
  <si>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</si>
  <si>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</si>
  <si>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</si>
  <si>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</si>
  <si>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</si>
  <si>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</si>
  <si>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</si>
  <si>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</si>
  <si>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</si>
  <si>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</si>
  <si>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</si>
  <si>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</si>
  <si>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</si>
  <si>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</si>
  <si>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REVENUE</t>
  </si>
  <si>
    <t>CONF./FACILITY FEES</t>
  </si>
  <si>
    <t>SEMINAR AND EVENT FEES</t>
  </si>
  <si>
    <t>BOOK SALES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</si>
  <si>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</si>
  <si>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</si>
  <si>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</si>
  <si>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</si>
  <si>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</si>
  <si>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</si>
  <si>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</si>
  <si>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</si>
  <si>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</si>
  <si>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</si>
  <si>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</si>
  <si>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</si>
  <si>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</si>
  <si>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</si>
  <si>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</si>
  <si>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</si>
  <si>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</si>
  <si>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</si>
  <si>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</si>
  <si>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</si>
  <si>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</si>
  <si>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</si>
  <si>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</si>
  <si>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</si>
  <si>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</si>
  <si>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</si>
  <si>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</si>
  <si>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</si>
  <si>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</si>
  <si>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</si>
  <si>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</si>
  <si>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</si>
  <si>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</si>
  <si>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 xml:space="preserve"> SUBLEASE INCOME </t>
  </si>
  <si>
    <t xml:space="preserve">ADVERTISING INCOME </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</si>
  <si>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</si>
  <si>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</si>
  <si>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</si>
  <si>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</si>
  <si>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</si>
  <si>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</si>
  <si>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</si>
  <si>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</si>
  <si>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</si>
  <si>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</si>
  <si>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</si>
  <si>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</si>
  <si>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</si>
  <si>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</si>
  <si>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</si>
  <si>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</si>
  <si>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</si>
  <si>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</si>
  <si>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</si>
  <si>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</si>
  <si>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</si>
  <si>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</si>
  <si>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</si>
  <si>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</si>
  <si>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</si>
  <si>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</si>
  <si>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</si>
  <si>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</si>
  <si>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</si>
  <si>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</si>
  <si>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</si>
  <si>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</si>
  <si>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</si>
  <si>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</si>
  <si>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</si>
  <si>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</si>
  <si>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</si>
  <si>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PARTNER REIMBURSEMENTS </t>
  </si>
  <si>
    <t xml:space="preserve">PUBLICATIONS </t>
  </si>
  <si>
    <t xml:space="preserve">REPAIRS AND MAINTENANCE </t>
  </si>
  <si>
    <t xml:space="preserve">BAD DEBT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</si>
  <si>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</si>
  <si>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</si>
  <si>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</si>
  <si>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</si>
  <si>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</si>
  <si>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</si>
  <si>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</si>
  <si>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</si>
  <si>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</si>
  <si>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</si>
  <si>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</si>
  <si>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</si>
  <si>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</si>
  <si>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</si>
  <si>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</si>
  <si>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</si>
  <si>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</si>
  <si>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</si>
  <si>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</si>
  <si>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</si>
  <si>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</si>
  <si>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</si>
  <si>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</si>
  <si>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</si>
  <si>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</si>
  <si>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</si>
  <si>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</si>
  <si>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</si>
  <si>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</si>
  <si>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</si>
  <si>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</si>
  <si>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</si>
  <si>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</si>
  <si>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</si>
  <si>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</si>
  <si>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</si>
  <si>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</si>
  <si>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</si>
  <si>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</si>
  <si>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</si>
  <si>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</si>
  <si>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</si>
  <si>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</si>
  <si>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</si>
  <si>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</si>
  <si>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</si>
  <si>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</si>
  <si>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</si>
  <si>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</si>
  <si>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</si>
  <si>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</si>
  <si>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</si>
  <si>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</si>
  <si>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</si>
  <si>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</si>
  <si>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</si>
  <si>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</si>
  <si>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</si>
  <si>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</si>
  <si>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</si>
  <si>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</si>
  <si>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</si>
  <si>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</si>
  <si>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</si>
  <si>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</si>
  <si>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</si>
  <si>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</si>
  <si>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</si>
  <si>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</si>
  <si>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</si>
  <si>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</si>
  <si>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</si>
  <si>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</si>
  <si>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</si>
  <si>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</si>
  <si>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</si>
  <si>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</si>
  <si>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</si>
  <si>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</si>
  <si>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</si>
  <si>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</si>
  <si>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</si>
  <si>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</si>
  <si>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</si>
  <si>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</si>
  <si>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</si>
  <si>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</si>
  <si>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</si>
  <si>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</si>
  <si>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</si>
  <si>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</si>
  <si>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</si>
  <si>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</si>
  <si>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</si>
  <si>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</si>
  <si>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</si>
  <si>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</si>
  <si>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</si>
  <si>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</si>
  <si>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</si>
  <si>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</si>
  <si>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SUBLEASE INCOME </t>
  </si>
  <si>
    <t xml:space="preserve">OTHER INCOME </t>
  </si>
  <si>
    <t>PUBLICATIONS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</si>
  <si>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</si>
  <si>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</si>
  <si>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SUBLEASE INCOME</t>
  </si>
  <si>
    <t>ADVERTISING INCOME</t>
  </si>
  <si>
    <t>BAD DEBT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</si>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</sst>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ASPEN INSTITUTE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188</v>
      </c>
      <c r="C3" s="145" t="s">
        <v>189</v>
      </c>
      <c r="D3" s="146">
        <f>'Expenses 2022'!C40</f>
        <v>192935305</v>
      </c>
      <c r="E3" s="147"/>
      <c r="F3" s="43"/>
      <c r="G3" s="43"/>
      <c r="H3" s="43"/>
      <c r="I3" s="43"/>
      <c r="J3" s="43"/>
      <c r="K3" s="43"/>
      <c r="L3" s="43"/>
      <c r="M3" s="43"/>
      <c r="N3" s="43"/>
      <c r="O3" s="43"/>
      <c r="P3" s="43"/>
      <c r="Q3" s="43"/>
      <c r="R3" s="43"/>
      <c r="S3" s="43"/>
      <c r="T3" s="43"/>
      <c r="U3" s="43"/>
      <c r="V3" s="43"/>
      <c r="W3" s="43"/>
      <c r="X3" s="43"/>
      <c r="Y3" s="43"/>
    </row>
    <row r="4">
      <c r="A4" s="139"/>
      <c r="B4" s="49"/>
      <c r="C4" s="145" t="s">
        <v>190</v>
      </c>
      <c r="D4" s="146">
        <f>'Expenses 2022'!C31</f>
        <v>2336218</v>
      </c>
      <c r="E4" s="147"/>
      <c r="F4" s="43"/>
      <c r="G4" s="43"/>
      <c r="H4" s="43"/>
      <c r="I4" s="43"/>
      <c r="J4" s="43"/>
      <c r="K4" s="43"/>
      <c r="L4" s="43"/>
      <c r="M4" s="43"/>
      <c r="N4" s="43"/>
      <c r="O4" s="43"/>
      <c r="P4" s="43"/>
      <c r="Q4" s="43"/>
      <c r="R4" s="43"/>
      <c r="S4" s="43"/>
      <c r="T4" s="43"/>
      <c r="U4" s="43"/>
      <c r="V4" s="43"/>
      <c r="W4" s="43"/>
      <c r="X4" s="43"/>
      <c r="Y4" s="43"/>
    </row>
    <row r="5">
      <c r="A5" s="139"/>
      <c r="B5" s="49"/>
      <c r="C5" s="145" t="s">
        <v>191</v>
      </c>
      <c r="D5" s="146">
        <f>D3-D4</f>
        <v>190599087</v>
      </c>
      <c r="E5" s="147"/>
      <c r="F5" s="43"/>
      <c r="G5" s="43"/>
      <c r="H5" s="43"/>
      <c r="I5" s="43"/>
      <c r="J5" s="43"/>
      <c r="K5" s="43"/>
      <c r="L5" s="43"/>
      <c r="M5" s="43"/>
      <c r="N5" s="43"/>
      <c r="O5" s="43"/>
      <c r="P5" s="43"/>
      <c r="Q5" s="43"/>
      <c r="R5" s="43"/>
      <c r="S5" s="43"/>
      <c r="T5" s="43"/>
      <c r="U5" s="43"/>
      <c r="V5" s="43"/>
      <c r="W5" s="43"/>
      <c r="X5" s="43"/>
      <c r="Y5" s="43"/>
    </row>
    <row r="6">
      <c r="A6" s="139"/>
      <c r="B6" s="49"/>
      <c r="C6" s="145" t="s">
        <v>192</v>
      </c>
      <c r="D6" s="146">
        <f>D5/12</f>
        <v>15883257.25</v>
      </c>
      <c r="E6" s="147"/>
      <c r="F6" s="43"/>
      <c r="G6" s="43"/>
      <c r="H6" s="43"/>
      <c r="I6" s="43"/>
      <c r="J6" s="43"/>
      <c r="K6" s="43"/>
      <c r="L6" s="43"/>
      <c r="M6" s="43"/>
      <c r="N6" s="43"/>
      <c r="O6" s="43"/>
      <c r="P6" s="43"/>
      <c r="Q6" s="43"/>
      <c r="R6" s="43"/>
      <c r="S6" s="43"/>
      <c r="T6" s="43"/>
      <c r="U6" s="43"/>
      <c r="V6" s="43"/>
      <c r="W6" s="43"/>
      <c r="X6" s="43"/>
      <c r="Y6" s="43"/>
    </row>
    <row r="7">
      <c r="A7" s="139"/>
      <c r="B7" s="49"/>
      <c r="C7" s="145" t="s">
        <v>193</v>
      </c>
      <c r="D7" s="75">
        <f>'Balance Sheet 2022'!E2+'Balance Sheet 2022'!E3</f>
        <v>33729884</v>
      </c>
      <c r="E7" s="147"/>
      <c r="F7" s="43"/>
      <c r="G7" s="43"/>
      <c r="H7" s="43"/>
      <c r="I7" s="43"/>
      <c r="J7" s="43"/>
      <c r="K7" s="43"/>
      <c r="L7" s="43"/>
      <c r="M7" s="43"/>
      <c r="N7" s="43"/>
      <c r="O7" s="43"/>
      <c r="P7" s="43"/>
      <c r="Q7" s="43"/>
      <c r="R7" s="43"/>
      <c r="S7" s="43"/>
      <c r="T7" s="43"/>
      <c r="U7" s="43"/>
      <c r="V7" s="43"/>
      <c r="W7" s="43"/>
      <c r="X7" s="43"/>
      <c r="Y7" s="43"/>
    </row>
    <row r="8">
      <c r="A8" s="139"/>
      <c r="B8" s="49"/>
      <c r="C8" s="148" t="s">
        <v>187</v>
      </c>
      <c r="D8" s="149">
        <f>D7/D6</f>
        <v>2.123612523</v>
      </c>
      <c r="E8" s="150" t="s">
        <v>194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196</v>
      </c>
      <c r="C11" s="145" t="s">
        <v>197</v>
      </c>
      <c r="D11" s="75">
        <f>'Balance Sheet 2022'!E30</f>
        <v>124326717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198</v>
      </c>
      <c r="D12" s="75">
        <f>'Expenses 2022'!C40</f>
        <v>192935305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199</v>
      </c>
      <c r="D13" s="146">
        <f>D12/12</f>
        <v>16077942.08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195</v>
      </c>
      <c r="D14" s="149">
        <f>D11/D13</f>
        <v>7.732750644</v>
      </c>
      <c r="E14" s="150" t="s">
        <v>194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201</v>
      </c>
      <c r="C17" s="145" t="s">
        <v>202</v>
      </c>
      <c r="D17" s="75">
        <f>sum('Balance Sheet 2022'!E13:E15)</f>
        <v>247581441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198</v>
      </c>
      <c r="D18" s="75">
        <f>'Expenses 2022'!C40</f>
        <v>192935305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199</v>
      </c>
      <c r="D19" s="146">
        <f>D18/12</f>
        <v>16077942.08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203</v>
      </c>
      <c r="D20" s="149">
        <f>D17/D19</f>
        <v>15.39882652</v>
      </c>
      <c r="E20" s="150" t="s">
        <v>194</v>
      </c>
      <c r="F20" s="43"/>
      <c r="G20" s="43"/>
      <c r="H20" s="43"/>
      <c r="I20" s="43"/>
      <c r="J20" s="43"/>
      <c r="K20" s="43"/>
      <c r="L20" s="43"/>
      <c r="M20" s="43"/>
      <c r="N20" s="43"/>
      <c r="O20" s="43"/>
      <c r="P20" s="43"/>
      <c r="Q20" s="43"/>
      <c r="R20" s="43"/>
      <c r="S20" s="43"/>
      <c r="T20" s="43"/>
      <c r="U20" s="43"/>
      <c r="V20" s="43"/>
      <c r="W20" s="43"/>
      <c r="X20" s="43"/>
      <c r="Y20" s="43"/>
    </row>
    <row r="21">
      <c r="A21" s="139"/>
      <c r="B21" s="49"/>
      <c r="C21" s="154" t="s">
        <v>204</v>
      </c>
      <c r="D21" s="155">
        <f>D20+D8</f>
        <v>17.52243905</v>
      </c>
      <c r="E21" s="156" t="s">
        <v>194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206</v>
      </c>
      <c r="C24" s="160"/>
      <c r="D24" s="161">
        <f>max('Revenues 2022'!E2:E7,'Revenues 2023'!F10:F15)</f>
        <v>131781726</v>
      </c>
      <c r="E24" s="162" t="s">
        <v>207</v>
      </c>
      <c r="F24" s="43"/>
      <c r="G24" s="43"/>
      <c r="H24" s="43"/>
      <c r="I24" s="43"/>
      <c r="J24" s="43"/>
      <c r="K24" s="43"/>
      <c r="L24" s="43"/>
      <c r="M24" s="43"/>
      <c r="N24" s="43"/>
      <c r="O24" s="43"/>
      <c r="P24" s="43"/>
      <c r="Q24" s="43"/>
      <c r="R24" s="43"/>
      <c r="S24" s="43"/>
      <c r="T24" s="43"/>
      <c r="U24" s="43"/>
      <c r="V24" s="43"/>
      <c r="W24" s="43"/>
      <c r="X24" s="43"/>
      <c r="Y24" s="43"/>
    </row>
    <row r="25">
      <c r="A25" s="139"/>
      <c r="B25" s="49"/>
      <c r="C25" s="145" t="s">
        <v>208</v>
      </c>
      <c r="D25" s="146">
        <f>'Revenues 2022'!F44</f>
        <v>189761926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205</v>
      </c>
      <c r="D26" s="163">
        <f>D24/D25</f>
        <v>0.6944582023</v>
      </c>
      <c r="E26" s="150" t="s">
        <v>209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211</v>
      </c>
      <c r="C29" s="145" t="s">
        <v>212</v>
      </c>
      <c r="D29" s="75">
        <f>SUM('Expenses 2022'!C7:C9)</f>
        <v>62599201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213</v>
      </c>
      <c r="D30" s="75">
        <f>SUM('Expenses 2022'!C10:C12)</f>
        <v>14998846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214</v>
      </c>
      <c r="D31" s="75">
        <f>sum(D29:D30)</f>
        <v>77598047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189</v>
      </c>
      <c r="D32" s="75">
        <f>'Expenses 2022'!C40</f>
        <v>192935305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215</v>
      </c>
      <c r="D33" s="163">
        <f>D31/D32</f>
        <v>0.4021972391</v>
      </c>
      <c r="E33" s="150" t="s">
        <v>216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218</v>
      </c>
      <c r="C36" s="145" t="s">
        <v>219</v>
      </c>
      <c r="D36" s="75">
        <f>SUM('Expenses 2022'!C10:C11)</f>
        <v>10679078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212</v>
      </c>
      <c r="D37" s="75">
        <f>SUM('Expenses 2022'!C7:C9)</f>
        <v>62599201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217</v>
      </c>
      <c r="D38" s="163">
        <f>D36/D37</f>
        <v>0.1705944777</v>
      </c>
      <c r="E38" s="150" t="s">
        <v>220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222</v>
      </c>
      <c r="C41" s="148" t="s">
        <v>248</v>
      </c>
      <c r="D41" s="75">
        <f>'Expenses 2022'!D40</f>
        <v>154853954</v>
      </c>
      <c r="E41" s="165">
        <f t="shared" ref="E41:E44" si="1">D41/$D$44</f>
        <v>0.8026211377</v>
      </c>
      <c r="F41" s="43"/>
      <c r="G41" s="43"/>
      <c r="H41" s="43"/>
      <c r="I41" s="43"/>
      <c r="J41" s="43"/>
      <c r="K41" s="43"/>
      <c r="L41" s="43"/>
      <c r="M41" s="43"/>
      <c r="N41" s="43"/>
      <c r="O41" s="43"/>
      <c r="P41" s="43"/>
      <c r="Q41" s="43"/>
      <c r="R41" s="43"/>
      <c r="S41" s="43"/>
      <c r="T41" s="43"/>
      <c r="U41" s="43"/>
      <c r="V41" s="43"/>
      <c r="W41" s="43"/>
      <c r="X41" s="43"/>
      <c r="Y41" s="43"/>
    </row>
    <row r="42">
      <c r="A42" s="139"/>
      <c r="B42" s="49"/>
      <c r="C42" s="148" t="s">
        <v>224</v>
      </c>
      <c r="D42" s="146">
        <f>'Expenses 2022'!E40</f>
        <v>33753391</v>
      </c>
      <c r="E42" s="165">
        <f t="shared" si="1"/>
        <v>0.1749466797</v>
      </c>
      <c r="F42" s="43"/>
      <c r="G42" s="43"/>
      <c r="H42" s="43"/>
      <c r="I42" s="43"/>
      <c r="J42" s="43"/>
      <c r="K42" s="43"/>
      <c r="L42" s="43"/>
      <c r="M42" s="43"/>
      <c r="N42" s="43"/>
      <c r="O42" s="43"/>
      <c r="P42" s="43"/>
      <c r="Q42" s="43"/>
      <c r="R42" s="43"/>
      <c r="S42" s="43"/>
      <c r="T42" s="43"/>
      <c r="U42" s="43"/>
      <c r="V42" s="43"/>
      <c r="W42" s="43"/>
      <c r="X42" s="43"/>
      <c r="Y42" s="43"/>
    </row>
    <row r="43">
      <c r="A43" s="139"/>
      <c r="B43" s="49"/>
      <c r="C43" s="148" t="s">
        <v>225</v>
      </c>
      <c r="D43" s="146">
        <f>'Expenses 2022'!F40</f>
        <v>4327960</v>
      </c>
      <c r="E43" s="165">
        <f t="shared" si="1"/>
        <v>0.02243218264</v>
      </c>
      <c r="F43" s="43"/>
      <c r="G43" s="43"/>
      <c r="H43" s="43"/>
      <c r="I43" s="43"/>
      <c r="J43" s="43"/>
      <c r="K43" s="43"/>
      <c r="L43" s="43"/>
      <c r="M43" s="43"/>
      <c r="N43" s="43"/>
      <c r="O43" s="43"/>
      <c r="P43" s="43"/>
      <c r="Q43" s="43"/>
      <c r="R43" s="43"/>
      <c r="S43" s="43"/>
      <c r="T43" s="43"/>
      <c r="U43" s="43"/>
      <c r="V43" s="43"/>
      <c r="W43" s="43"/>
      <c r="X43" s="43"/>
      <c r="Y43" s="43"/>
    </row>
    <row r="44">
      <c r="A44" s="139"/>
      <c r="B44" s="49"/>
      <c r="C44" s="145" t="s">
        <v>189</v>
      </c>
      <c r="D44" s="146">
        <f>sum(D41:D43)</f>
        <v>192935305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227</v>
      </c>
      <c r="C47" s="145" t="s">
        <v>228</v>
      </c>
      <c r="D47" s="146">
        <f>'Revenues 2022'!F9</f>
        <v>141560565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229</v>
      </c>
      <c r="D48" s="146">
        <f>'Expenses 2022'!F40</f>
        <v>4327960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230</v>
      </c>
      <c r="D49" s="166">
        <f>D47/D48</f>
        <v>32.70838108</v>
      </c>
      <c r="E49" s="150" t="s">
        <v>231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233</v>
      </c>
      <c r="C52" s="145" t="s">
        <v>234</v>
      </c>
      <c r="D52" s="146">
        <f>sum('Balance Sheet 2022'!E2:E10)</f>
        <v>84540515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235</v>
      </c>
      <c r="D53" s="146">
        <f>sum('Balance Sheet 2022'!E19:E22)</f>
        <v>33366223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236</v>
      </c>
      <c r="D54" s="168">
        <f>D52/D53</f>
        <v>2.533715458</v>
      </c>
      <c r="E54" s="150" t="s">
        <v>237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239</v>
      </c>
      <c r="C57" s="145" t="s">
        <v>240</v>
      </c>
      <c r="D57" s="146">
        <f>sum('Balance Sheet 2022'!E25:E26)</f>
        <v>3780000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241</v>
      </c>
      <c r="D58" s="146">
        <f>'Balance Sheet 2022'!E18</f>
        <v>475882871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242</v>
      </c>
      <c r="D59" s="169">
        <f>D57/D58</f>
        <v>0.007943131032</v>
      </c>
      <c r="E59" s="150" t="s">
        <v>243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ASPEN INSTITUTE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1843068.0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9378895.0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1.66508543E8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9436141.0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177730506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3.0713004E7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1.039671E7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9308990.0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5876.0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50424580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3770754.0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41973.0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169208.0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-127235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-127235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249</v>
      </c>
      <c r="D26" s="50">
        <v>3.99276945E8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3.99359416E8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-82471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-82471</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166163.0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1371630.0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-1205467</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246</v>
      </c>
      <c r="D39" s="74"/>
      <c r="E39" s="48">
        <v>843116.0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250</v>
      </c>
      <c r="D40" s="74"/>
      <c r="E40" s="48">
        <v>739504.0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251</v>
      </c>
      <c r="D41" s="74"/>
      <c r="E41" s="48">
        <v>16048.0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1598668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104</v>
      </c>
      <c r="D44" s="88"/>
      <c r="E44" s="88"/>
      <c r="F44" s="89">
        <f>sum(F16:F43)+F9</f>
        <v>232109335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ASPEN INSTITUTE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80">
        <v>1.0</v>
      </c>
      <c r="B3" s="96" t="s">
        <v>109</v>
      </c>
      <c r="C3" s="98">
        <f t="shared" ref="C3:C39" si="1">sum(D3:F3)</f>
        <v>25165910</v>
      </c>
      <c r="D3" s="99">
        <v>2.516591E7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110</v>
      </c>
      <c r="C4" s="98">
        <f t="shared" si="1"/>
        <v>1114825</v>
      </c>
      <c r="D4" s="99">
        <v>1114825.0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111</v>
      </c>
      <c r="C5" s="98">
        <f t="shared" si="1"/>
        <v>8189132</v>
      </c>
      <c r="D5" s="99">
        <v>8189132.0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112</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113</v>
      </c>
      <c r="C7" s="98">
        <f t="shared" si="1"/>
        <v>2827815</v>
      </c>
      <c r="D7" s="99">
        <v>101405.0</v>
      </c>
      <c r="E7" s="99">
        <v>2726410.0</v>
      </c>
      <c r="F7" s="99">
        <v>0.0</v>
      </c>
      <c r="G7" s="43"/>
      <c r="H7" s="43"/>
      <c r="I7" s="43"/>
      <c r="J7" s="43"/>
      <c r="K7" s="43"/>
      <c r="L7" s="43"/>
      <c r="M7" s="43"/>
      <c r="N7" s="43"/>
      <c r="O7" s="43"/>
      <c r="P7" s="43"/>
      <c r="Q7" s="43"/>
      <c r="R7" s="43"/>
      <c r="S7" s="43"/>
      <c r="T7" s="43"/>
      <c r="U7" s="43"/>
      <c r="V7" s="43"/>
      <c r="W7" s="43"/>
      <c r="X7" s="43"/>
      <c r="Y7" s="43"/>
      <c r="Z7" s="43"/>
    </row>
    <row r="8">
      <c r="A8" s="80">
        <v>6.0</v>
      </c>
      <c r="B8" s="96" t="s">
        <v>114</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115</v>
      </c>
      <c r="C9" s="98">
        <f t="shared" si="1"/>
        <v>67783472</v>
      </c>
      <c r="D9" s="99">
        <v>5.0502655E7</v>
      </c>
      <c r="E9" s="99">
        <v>1.4306802E7</v>
      </c>
      <c r="F9" s="99">
        <v>2974015.0</v>
      </c>
      <c r="G9" s="43"/>
      <c r="H9" s="43"/>
      <c r="I9" s="43"/>
      <c r="J9" s="43"/>
      <c r="K9" s="43"/>
      <c r="L9" s="43"/>
      <c r="M9" s="43"/>
      <c r="N9" s="43"/>
      <c r="O9" s="43"/>
      <c r="P9" s="43"/>
      <c r="Q9" s="43"/>
      <c r="R9" s="43"/>
      <c r="S9" s="43"/>
      <c r="T9" s="43"/>
      <c r="U9" s="43"/>
      <c r="V9" s="43"/>
      <c r="W9" s="43"/>
      <c r="X9" s="43"/>
      <c r="Y9" s="43"/>
      <c r="Z9" s="43"/>
    </row>
    <row r="10">
      <c r="A10" s="80">
        <v>8.0</v>
      </c>
      <c r="B10" s="96" t="s">
        <v>116</v>
      </c>
      <c r="C10" s="98">
        <f t="shared" si="1"/>
        <v>6235742</v>
      </c>
      <c r="D10" s="99">
        <v>5560531.0</v>
      </c>
      <c r="E10" s="99">
        <v>315333.0</v>
      </c>
      <c r="F10" s="99">
        <v>359878.0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8">
        <f t="shared" si="1"/>
        <v>6151369</v>
      </c>
      <c r="D11" s="99">
        <v>5427529.0</v>
      </c>
      <c r="E11" s="99">
        <v>446504.0</v>
      </c>
      <c r="F11" s="99">
        <v>277336.0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8">
        <f t="shared" si="1"/>
        <v>4775020</v>
      </c>
      <c r="D12" s="99">
        <v>4141896.0</v>
      </c>
      <c r="E12" s="99">
        <v>365478.0</v>
      </c>
      <c r="F12" s="99">
        <v>267646.0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8">
        <f t="shared" si="1"/>
        <v>16002723</v>
      </c>
      <c r="D14" s="99">
        <v>1.6002723E7</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8">
        <f t="shared" si="1"/>
        <v>895307</v>
      </c>
      <c r="D15" s="99">
        <v>179249.0</v>
      </c>
      <c r="E15" s="99">
        <v>716058.0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8">
        <f t="shared" si="1"/>
        <v>167517</v>
      </c>
      <c r="D16" s="99">
        <v>0.0</v>
      </c>
      <c r="E16" s="99">
        <v>167517.0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8">
        <f t="shared" si="1"/>
        <v>1025844</v>
      </c>
      <c r="D19" s="99">
        <v>0.0</v>
      </c>
      <c r="E19" s="99">
        <v>1025844.0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8">
        <f t="shared" si="1"/>
        <v>36295465</v>
      </c>
      <c r="D20" s="99">
        <v>2.6839245E7</v>
      </c>
      <c r="E20" s="99">
        <v>9370021.0</v>
      </c>
      <c r="F20" s="99">
        <v>86199.0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8">
        <f t="shared" si="1"/>
        <v>4866231</v>
      </c>
      <c r="D22" s="99">
        <v>2556407.0</v>
      </c>
      <c r="E22" s="99">
        <v>2309824.0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8">
        <f t="shared" si="1"/>
        <v>1935876</v>
      </c>
      <c r="D23" s="99">
        <v>1727230.0</v>
      </c>
      <c r="E23" s="99">
        <v>208447.0</v>
      </c>
      <c r="F23" s="99">
        <v>199.0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8">
        <f t="shared" si="1"/>
        <v>5796984</v>
      </c>
      <c r="D25" s="99">
        <v>3691827.0</v>
      </c>
      <c r="E25" s="99">
        <v>2105157.0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8">
        <f t="shared" si="1"/>
        <v>18683380</v>
      </c>
      <c r="D26" s="99">
        <v>1.7625908E7</v>
      </c>
      <c r="E26" s="99">
        <v>926643.0</v>
      </c>
      <c r="F26" s="99">
        <v>130829.0</v>
      </c>
      <c r="G26" s="43"/>
      <c r="H26" s="43"/>
      <c r="I26" s="43"/>
      <c r="J26" s="43"/>
      <c r="K26" s="43"/>
      <c r="L26" s="43"/>
      <c r="M26" s="43"/>
      <c r="N26" s="43"/>
      <c r="O26" s="43"/>
      <c r="P26" s="43"/>
      <c r="Q26" s="43"/>
      <c r="R26" s="43"/>
      <c r="S26" s="43"/>
      <c r="T26" s="43"/>
      <c r="U26" s="43"/>
      <c r="V26" s="43"/>
      <c r="W26" s="43"/>
      <c r="X26" s="43"/>
      <c r="Y26" s="43"/>
      <c r="Z26" s="43"/>
    </row>
    <row r="27">
      <c r="A27" s="80">
        <v>18.0</v>
      </c>
      <c r="B27" s="96" t="s">
        <v>133</v>
      </c>
      <c r="C27" s="98">
        <f t="shared" si="1"/>
        <v>533656</v>
      </c>
      <c r="D27" s="99">
        <v>533656.0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8">
        <f t="shared" si="1"/>
        <v>6933502</v>
      </c>
      <c r="D28" s="99">
        <v>6541889.0</v>
      </c>
      <c r="E28" s="99">
        <v>343227.0</v>
      </c>
      <c r="F28" s="99">
        <v>48386.0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8">
        <f t="shared" si="1"/>
        <v>293380</v>
      </c>
      <c r="D29" s="99">
        <v>153768.0</v>
      </c>
      <c r="E29" s="99">
        <v>139612.0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8">
        <f t="shared" si="1"/>
        <v>4175940</v>
      </c>
      <c r="D31" s="99">
        <v>0.0</v>
      </c>
      <c r="E31" s="99">
        <v>4175940.0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8">
        <f t="shared" si="1"/>
        <v>483462</v>
      </c>
      <c r="D32" s="99">
        <v>57322.0</v>
      </c>
      <c r="E32" s="99">
        <v>426140.0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120</v>
      </c>
      <c r="B34" s="60" t="s">
        <v>140</v>
      </c>
      <c r="C34" s="98">
        <f t="shared" si="1"/>
        <v>2258771</v>
      </c>
      <c r="D34" s="99">
        <v>2258771.0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141</v>
      </c>
      <c r="C35" s="98">
        <f t="shared" si="1"/>
        <v>2080537</v>
      </c>
      <c r="D35" s="99">
        <v>1993203.0</v>
      </c>
      <c r="E35" s="99">
        <v>86963.0</v>
      </c>
      <c r="F35" s="99">
        <v>371.0</v>
      </c>
      <c r="G35" s="43"/>
      <c r="H35" s="43"/>
      <c r="I35" s="43"/>
      <c r="J35" s="43"/>
      <c r="K35" s="43"/>
      <c r="L35" s="43"/>
      <c r="M35" s="43"/>
      <c r="N35" s="43"/>
      <c r="O35" s="43"/>
      <c r="P35" s="43"/>
      <c r="Q35" s="43"/>
      <c r="R35" s="43"/>
      <c r="S35" s="43"/>
      <c r="T35" s="43"/>
      <c r="U35" s="43"/>
      <c r="V35" s="43"/>
      <c r="W35" s="43"/>
      <c r="X35" s="43"/>
      <c r="Y35" s="43"/>
      <c r="Z35" s="43"/>
    </row>
    <row r="36">
      <c r="A36" s="45" t="s">
        <v>50</v>
      </c>
      <c r="B36" s="60" t="s">
        <v>142</v>
      </c>
      <c r="C36" s="98">
        <f t="shared" si="1"/>
        <v>723856</v>
      </c>
      <c r="D36" s="99">
        <v>223781.0</v>
      </c>
      <c r="E36" s="99">
        <v>500075.0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252</v>
      </c>
      <c r="C37" s="98">
        <f t="shared" si="1"/>
        <v>342959</v>
      </c>
      <c r="D37" s="99">
        <v>112871.0</v>
      </c>
      <c r="E37" s="99">
        <v>0.0</v>
      </c>
      <c r="F37" s="99">
        <v>230088.0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4">
        <f t="shared" ref="C40:F40" si="2">sum(C3:C39)</f>
        <v>225738675</v>
      </c>
      <c r="D40" s="104">
        <f t="shared" si="2"/>
        <v>180701733</v>
      </c>
      <c r="E40" s="104">
        <f t="shared" si="2"/>
        <v>40661995</v>
      </c>
      <c r="F40" s="104">
        <f t="shared" si="2"/>
        <v>4374947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ASPEN INSTITUTE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146</v>
      </c>
      <c r="B2" s="45">
        <v>1.0</v>
      </c>
      <c r="C2" s="46" t="s">
        <v>147</v>
      </c>
      <c r="D2" s="111"/>
      <c r="E2" s="112">
        <v>1.1119375E7</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3"/>
      <c r="E3" s="112">
        <v>4.0570734E7</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1"/>
      <c r="E4" s="112">
        <v>7.3328617E7</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3"/>
      <c r="E5" s="112">
        <v>4483957.0</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3"/>
      <c r="E9" s="112">
        <v>332405.0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1"/>
      <c r="E10" s="112">
        <v>4059323.0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2">
        <v>1.26963998E8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2">
        <v>4.9199341E7</v>
      </c>
      <c r="E12" s="109">
        <f>D11-D12</f>
        <v>77764657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3"/>
      <c r="E13" s="112">
        <v>8.1148136E7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3"/>
      <c r="E14" s="112">
        <v>1.74410016E8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3"/>
      <c r="E17" s="112">
        <v>5.1896817E7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4"/>
      <c r="E18" s="115">
        <f>sum(E2:E17)</f>
        <v>519114037</v>
      </c>
      <c r="F18" s="43"/>
      <c r="G18" s="43"/>
      <c r="H18" s="43"/>
      <c r="I18" s="43"/>
      <c r="J18" s="43"/>
      <c r="K18" s="43"/>
      <c r="L18" s="43"/>
      <c r="M18" s="43"/>
      <c r="N18" s="43"/>
      <c r="O18" s="43"/>
      <c r="P18" s="43"/>
      <c r="Q18" s="43"/>
      <c r="R18" s="43"/>
      <c r="S18" s="43"/>
      <c r="T18" s="43"/>
      <c r="U18" s="43"/>
      <c r="V18" s="43"/>
      <c r="W18" s="43"/>
      <c r="X18" s="43"/>
      <c r="Y18" s="43"/>
      <c r="Z18" s="43"/>
    </row>
    <row r="19">
      <c r="A19" s="44" t="s">
        <v>166</v>
      </c>
      <c r="B19" s="116">
        <v>17.0</v>
      </c>
      <c r="C19" s="117" t="s">
        <v>167</v>
      </c>
      <c r="D19" s="118"/>
      <c r="E19" s="112">
        <v>1.8384226E7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168</v>
      </c>
      <c r="D20" s="118"/>
      <c r="E20" s="112">
        <v>2653325.0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169</v>
      </c>
      <c r="D21" s="118"/>
      <c r="E21" s="112">
        <v>1.7813064E7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173</v>
      </c>
      <c r="D25" s="122"/>
      <c r="E25" s="119">
        <v>7700840.0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175</v>
      </c>
      <c r="D27" s="118"/>
      <c r="E27" s="119">
        <v>6.4336411E7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176</v>
      </c>
      <c r="D28" s="126"/>
      <c r="E28" s="127">
        <f>sum(E19:E27)</f>
        <v>110887866</v>
      </c>
      <c r="F28" s="43"/>
      <c r="G28" s="43"/>
      <c r="H28" s="43"/>
      <c r="I28" s="43"/>
      <c r="J28" s="43"/>
      <c r="K28" s="43"/>
      <c r="L28" s="43"/>
      <c r="M28" s="43"/>
      <c r="N28" s="43"/>
      <c r="O28" s="43"/>
      <c r="P28" s="43"/>
      <c r="Q28" s="43"/>
      <c r="R28" s="43"/>
      <c r="S28" s="43"/>
      <c r="T28" s="43"/>
      <c r="U28" s="43"/>
      <c r="V28" s="43"/>
      <c r="W28" s="43"/>
      <c r="X28" s="43"/>
      <c r="Y28" s="43"/>
      <c r="Z28" s="43"/>
    </row>
    <row r="29">
      <c r="A29" s="65" t="s">
        <v>177</v>
      </c>
      <c r="B29" s="128"/>
      <c r="C29" s="129" t="s">
        <v>178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179</v>
      </c>
      <c r="D30" s="118"/>
      <c r="E30" s="112">
        <v>1.23295839E8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180</v>
      </c>
      <c r="D31" s="118"/>
      <c r="E31" s="112">
        <v>2.84930332E8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185</v>
      </c>
      <c r="D36" s="132"/>
      <c r="E36" s="127">
        <f>sum(E30:E35)</f>
        <v>408226171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186</v>
      </c>
      <c r="D37" s="136"/>
      <c r="E37" s="137">
        <f>E36+E28</f>
        <v>519114037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ASPEN INSTITUTE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188</v>
      </c>
      <c r="C3" s="145" t="s">
        <v>189</v>
      </c>
      <c r="D3" s="146">
        <f>'Expenses 2023'!C40</f>
        <v>225738675</v>
      </c>
      <c r="E3" s="147"/>
      <c r="F3" s="43"/>
      <c r="G3" s="43"/>
      <c r="H3" s="43"/>
      <c r="I3" s="43"/>
      <c r="J3" s="43"/>
      <c r="K3" s="43"/>
      <c r="L3" s="43"/>
      <c r="M3" s="43"/>
      <c r="N3" s="43"/>
      <c r="O3" s="43"/>
      <c r="P3" s="43"/>
      <c r="Q3" s="43"/>
      <c r="R3" s="43"/>
      <c r="S3" s="43"/>
      <c r="T3" s="43"/>
      <c r="U3" s="43"/>
      <c r="V3" s="43"/>
      <c r="W3" s="43"/>
      <c r="X3" s="43"/>
      <c r="Y3" s="43"/>
    </row>
    <row r="4">
      <c r="A4" s="139"/>
      <c r="B4" s="49"/>
      <c r="C4" s="145" t="s">
        <v>190</v>
      </c>
      <c r="D4" s="146">
        <f>'Expenses 2023'!C31</f>
        <v>4175940</v>
      </c>
      <c r="E4" s="147"/>
      <c r="F4" s="43"/>
      <c r="G4" s="43"/>
      <c r="H4" s="43"/>
      <c r="I4" s="43"/>
      <c r="J4" s="43"/>
      <c r="K4" s="43"/>
      <c r="L4" s="43"/>
      <c r="M4" s="43"/>
      <c r="N4" s="43"/>
      <c r="O4" s="43"/>
      <c r="P4" s="43"/>
      <c r="Q4" s="43"/>
      <c r="R4" s="43"/>
      <c r="S4" s="43"/>
      <c r="T4" s="43"/>
      <c r="U4" s="43"/>
      <c r="V4" s="43"/>
      <c r="W4" s="43"/>
      <c r="X4" s="43"/>
      <c r="Y4" s="43"/>
    </row>
    <row r="5">
      <c r="A5" s="139"/>
      <c r="B5" s="49"/>
      <c r="C5" s="145" t="s">
        <v>191</v>
      </c>
      <c r="D5" s="146">
        <f>D3-D4</f>
        <v>221562735</v>
      </c>
      <c r="E5" s="147"/>
      <c r="F5" s="43"/>
      <c r="G5" s="43"/>
      <c r="H5" s="43"/>
      <c r="I5" s="43"/>
      <c r="J5" s="43"/>
      <c r="K5" s="43"/>
      <c r="L5" s="43"/>
      <c r="M5" s="43"/>
      <c r="N5" s="43"/>
      <c r="O5" s="43"/>
      <c r="P5" s="43"/>
      <c r="Q5" s="43"/>
      <c r="R5" s="43"/>
      <c r="S5" s="43"/>
      <c r="T5" s="43"/>
      <c r="U5" s="43"/>
      <c r="V5" s="43"/>
      <c r="W5" s="43"/>
      <c r="X5" s="43"/>
      <c r="Y5" s="43"/>
    </row>
    <row r="6">
      <c r="A6" s="139"/>
      <c r="B6" s="49"/>
      <c r="C6" s="145" t="s">
        <v>192</v>
      </c>
      <c r="D6" s="146">
        <f>D5/12</f>
        <v>18463561.25</v>
      </c>
      <c r="E6" s="147"/>
      <c r="F6" s="43"/>
      <c r="G6" s="43"/>
      <c r="H6" s="43"/>
      <c r="I6" s="43"/>
      <c r="J6" s="43"/>
      <c r="K6" s="43"/>
      <c r="L6" s="43"/>
      <c r="M6" s="43"/>
      <c r="N6" s="43"/>
      <c r="O6" s="43"/>
      <c r="P6" s="43"/>
      <c r="Q6" s="43"/>
      <c r="R6" s="43"/>
      <c r="S6" s="43"/>
      <c r="T6" s="43"/>
      <c r="U6" s="43"/>
      <c r="V6" s="43"/>
      <c r="W6" s="43"/>
      <c r="X6" s="43"/>
      <c r="Y6" s="43"/>
    </row>
    <row r="7">
      <c r="A7" s="139"/>
      <c r="B7" s="49"/>
      <c r="C7" s="145" t="s">
        <v>193</v>
      </c>
      <c r="D7" s="75">
        <f>'Balance Sheet 2023'!E2+'Balance Sheet 2023'!E3</f>
        <v>51690109</v>
      </c>
      <c r="E7" s="147"/>
      <c r="F7" s="43"/>
      <c r="G7" s="43"/>
      <c r="H7" s="43"/>
      <c r="I7" s="43"/>
      <c r="J7" s="43"/>
      <c r="K7" s="43"/>
      <c r="L7" s="43"/>
      <c r="M7" s="43"/>
      <c r="N7" s="43"/>
      <c r="O7" s="43"/>
      <c r="P7" s="43"/>
      <c r="Q7" s="43"/>
      <c r="R7" s="43"/>
      <c r="S7" s="43"/>
      <c r="T7" s="43"/>
      <c r="U7" s="43"/>
      <c r="V7" s="43"/>
      <c r="W7" s="43"/>
      <c r="X7" s="43"/>
      <c r="Y7" s="43"/>
    </row>
    <row r="8">
      <c r="A8" s="139"/>
      <c r="B8" s="49"/>
      <c r="C8" s="148" t="s">
        <v>187</v>
      </c>
      <c r="D8" s="149">
        <f>D7/D6</f>
        <v>2.799574161</v>
      </c>
      <c r="E8" s="150" t="s">
        <v>194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196</v>
      </c>
      <c r="C11" s="145" t="s">
        <v>197</v>
      </c>
      <c r="D11" s="75">
        <f>'Balance Sheet 2023'!E30</f>
        <v>123295839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198</v>
      </c>
      <c r="D12" s="75">
        <f>'Expenses 2023'!C40</f>
        <v>225738675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199</v>
      </c>
      <c r="D13" s="146">
        <f>D12/12</f>
        <v>18811556.25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195</v>
      </c>
      <c r="D14" s="149">
        <f>D11/D13</f>
        <v>6.554260443</v>
      </c>
      <c r="E14" s="150" t="s">
        <v>194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201</v>
      </c>
      <c r="C17" s="145" t="s">
        <v>202</v>
      </c>
      <c r="D17" s="75">
        <f>sum('Balance Sheet 2023'!E13:E15)</f>
        <v>255558152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198</v>
      </c>
      <c r="D18" s="75">
        <f>'Expenses 2023'!C40</f>
        <v>225738675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199</v>
      </c>
      <c r="D19" s="146">
        <f>D18/12</f>
        <v>18811556.25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203</v>
      </c>
      <c r="D20" s="149">
        <f>D17/D19</f>
        <v>13.585168</v>
      </c>
      <c r="E20" s="150" t="s">
        <v>194</v>
      </c>
      <c r="F20" s="43"/>
      <c r="G20" s="43"/>
      <c r="H20" s="43"/>
      <c r="I20" s="43"/>
      <c r="J20" s="43"/>
      <c r="K20" s="43"/>
      <c r="L20" s="43"/>
      <c r="M20" s="43"/>
      <c r="N20" s="43"/>
      <c r="O20" s="43"/>
      <c r="P20" s="43"/>
      <c r="Q20" s="43"/>
      <c r="R20" s="43"/>
      <c r="S20" s="43"/>
      <c r="T20" s="43"/>
      <c r="U20" s="43"/>
      <c r="V20" s="43"/>
      <c r="W20" s="43"/>
      <c r="X20" s="43"/>
      <c r="Y20" s="43"/>
    </row>
    <row r="21">
      <c r="A21" s="139"/>
      <c r="B21" s="49"/>
      <c r="C21" s="154" t="s">
        <v>204</v>
      </c>
      <c r="D21" s="155">
        <f>D20+D8</f>
        <v>16.38474216</v>
      </c>
      <c r="E21" s="156" t="s">
        <v>194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206</v>
      </c>
      <c r="C24" s="160"/>
      <c r="D24" s="161">
        <f>max('Revenues 2023'!E2:E7,'Revenues 2023'!F10:F15)</f>
        <v>166508543</v>
      </c>
      <c r="E24" s="162" t="s">
        <v>207</v>
      </c>
      <c r="F24" s="43"/>
      <c r="G24" s="43"/>
      <c r="H24" s="43"/>
      <c r="I24" s="43"/>
      <c r="J24" s="43"/>
      <c r="K24" s="43"/>
      <c r="L24" s="43"/>
      <c r="M24" s="43"/>
      <c r="N24" s="43"/>
      <c r="O24" s="43"/>
      <c r="P24" s="43"/>
      <c r="Q24" s="43"/>
      <c r="R24" s="43"/>
      <c r="S24" s="43"/>
      <c r="T24" s="43"/>
      <c r="U24" s="43"/>
      <c r="V24" s="43"/>
      <c r="W24" s="43"/>
      <c r="X24" s="43"/>
      <c r="Y24" s="43"/>
    </row>
    <row r="25">
      <c r="A25" s="139"/>
      <c r="B25" s="49"/>
      <c r="C25" s="145" t="s">
        <v>208</v>
      </c>
      <c r="D25" s="146">
        <f>'Revenues 2023'!F44</f>
        <v>232109335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205</v>
      </c>
      <c r="D26" s="163">
        <f>D24/D25</f>
        <v>0.7173711604</v>
      </c>
      <c r="E26" s="150" t="s">
        <v>209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211</v>
      </c>
      <c r="C29" s="145" t="s">
        <v>212</v>
      </c>
      <c r="D29" s="75">
        <f>SUM('Expenses 2023'!C7:C9)</f>
        <v>70611287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213</v>
      </c>
      <c r="D30" s="75">
        <f>SUM('Expenses 2023'!C10:C12)</f>
        <v>17162131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214</v>
      </c>
      <c r="D31" s="75">
        <f>sum(D29:D30)</f>
        <v>87773418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189</v>
      </c>
      <c r="D32" s="75">
        <f>'Expenses 2023'!C40</f>
        <v>225738675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215</v>
      </c>
      <c r="D33" s="163">
        <f>D31/D32</f>
        <v>0.3888275591</v>
      </c>
      <c r="E33" s="150" t="s">
        <v>216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218</v>
      </c>
      <c r="C36" s="145" t="s">
        <v>219</v>
      </c>
      <c r="D36" s="75">
        <f>SUM('Expenses 2023'!C10:C11)</f>
        <v>12387111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212</v>
      </c>
      <c r="D37" s="75">
        <f>SUM('Expenses 2023'!C7:C9)</f>
        <v>70611287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217</v>
      </c>
      <c r="D38" s="163">
        <f>D36/D37</f>
        <v>0.1754267841</v>
      </c>
      <c r="E38" s="150" t="s">
        <v>220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222</v>
      </c>
      <c r="C41" s="148" t="s">
        <v>253</v>
      </c>
      <c r="D41" s="75">
        <f>'Expenses 2023'!D40</f>
        <v>180701733</v>
      </c>
      <c r="E41" s="165">
        <f t="shared" ref="E41:E44" si="1">D41/$D$44</f>
        <v>0.800490802</v>
      </c>
      <c r="F41" s="43"/>
      <c r="G41" s="43"/>
      <c r="H41" s="43"/>
      <c r="I41" s="43"/>
      <c r="J41" s="43"/>
      <c r="K41" s="43"/>
      <c r="L41" s="43"/>
      <c r="M41" s="43"/>
      <c r="N41" s="43"/>
      <c r="O41" s="43"/>
      <c r="P41" s="43"/>
      <c r="Q41" s="43"/>
      <c r="R41" s="43"/>
      <c r="S41" s="43"/>
      <c r="T41" s="43"/>
      <c r="U41" s="43"/>
      <c r="V41" s="43"/>
      <c r="W41" s="43"/>
      <c r="X41" s="43"/>
      <c r="Y41" s="43"/>
    </row>
    <row r="42">
      <c r="A42" s="139"/>
      <c r="B42" s="49"/>
      <c r="C42" s="148" t="s">
        <v>224</v>
      </c>
      <c r="D42" s="146">
        <f>'Expenses 2023'!E40</f>
        <v>40661995</v>
      </c>
      <c r="E42" s="165">
        <f t="shared" si="1"/>
        <v>0.1801286155</v>
      </c>
      <c r="F42" s="43"/>
      <c r="G42" s="43"/>
      <c r="H42" s="43"/>
      <c r="I42" s="43"/>
      <c r="J42" s="43"/>
      <c r="K42" s="43"/>
      <c r="L42" s="43"/>
      <c r="M42" s="43"/>
      <c r="N42" s="43"/>
      <c r="O42" s="43"/>
      <c r="P42" s="43"/>
      <c r="Q42" s="43"/>
      <c r="R42" s="43"/>
      <c r="S42" s="43"/>
      <c r="T42" s="43"/>
      <c r="U42" s="43"/>
      <c r="V42" s="43"/>
      <c r="W42" s="43"/>
      <c r="X42" s="43"/>
      <c r="Y42" s="43"/>
    </row>
    <row r="43">
      <c r="A43" s="139"/>
      <c r="B43" s="49"/>
      <c r="C43" s="148" t="s">
        <v>225</v>
      </c>
      <c r="D43" s="146">
        <f>'Expenses 2023'!F40</f>
        <v>4374947</v>
      </c>
      <c r="E43" s="165">
        <f t="shared" si="1"/>
        <v>0.01938058244</v>
      </c>
      <c r="F43" s="43"/>
      <c r="G43" s="43"/>
      <c r="H43" s="43"/>
      <c r="I43" s="43"/>
      <c r="J43" s="43"/>
      <c r="K43" s="43"/>
      <c r="L43" s="43"/>
      <c r="M43" s="43"/>
      <c r="N43" s="43"/>
      <c r="O43" s="43"/>
      <c r="P43" s="43"/>
      <c r="Q43" s="43"/>
      <c r="R43" s="43"/>
      <c r="S43" s="43"/>
      <c r="T43" s="43"/>
      <c r="U43" s="43"/>
      <c r="V43" s="43"/>
      <c r="W43" s="43"/>
      <c r="X43" s="43"/>
      <c r="Y43" s="43"/>
    </row>
    <row r="44">
      <c r="A44" s="139"/>
      <c r="B44" s="49"/>
      <c r="C44" s="145" t="s">
        <v>189</v>
      </c>
      <c r="D44" s="146">
        <f>sum(D41:D43)</f>
        <v>225738675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227</v>
      </c>
      <c r="C47" s="145" t="s">
        <v>228</v>
      </c>
      <c r="D47" s="146">
        <f>'Revenues 2023'!F9</f>
        <v>177730506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229</v>
      </c>
      <c r="D48" s="146">
        <f>'Expenses 2023'!F40</f>
        <v>4374947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230</v>
      </c>
      <c r="D49" s="166">
        <f>D47/D48</f>
        <v>40.6246078</v>
      </c>
      <c r="E49" s="150" t="s">
        <v>231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233</v>
      </c>
      <c r="C52" s="145" t="s">
        <v>234</v>
      </c>
      <c r="D52" s="146">
        <f>sum('Balance Sheet 2023'!E2:E10)</f>
        <v>133894411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235</v>
      </c>
      <c r="D53" s="146">
        <f>sum('Balance Sheet 2023'!E19:E22)</f>
        <v>38850615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236</v>
      </c>
      <c r="D54" s="168">
        <f>D52/D53</f>
        <v>3.446391029</v>
      </c>
      <c r="E54" s="150" t="s">
        <v>237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239</v>
      </c>
      <c r="C57" s="145" t="s">
        <v>240</v>
      </c>
      <c r="D57" s="146">
        <f>sum('Balance Sheet 2023'!E25:E26)</f>
        <v>7700840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241</v>
      </c>
      <c r="D58" s="146">
        <f>'Balance Sheet 2023'!E18</f>
        <v>519114037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242</v>
      </c>
      <c r="D59" s="169">
        <f>D57/D58</f>
        <v>0.01483458248</v>
      </c>
      <c r="E59" s="150" t="s">
        <v>243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ASPEN INSTITUTE</v>
      </c>
      <c r="B1" s="2" t="s">
        <v>254</v>
      </c>
      <c r="C1" s="139"/>
      <c r="D1" s="139"/>
      <c r="E1" s="139"/>
      <c r="F1" s="140"/>
      <c r="G1" s="140"/>
      <c r="H1" s="140"/>
      <c r="I1" s="43"/>
      <c r="J1" s="43"/>
      <c r="K1" s="43"/>
      <c r="L1" s="43"/>
      <c r="M1" s="43"/>
      <c r="N1" s="43"/>
      <c r="O1" s="43"/>
      <c r="P1" s="43"/>
      <c r="Q1" s="43"/>
      <c r="R1" s="43"/>
      <c r="S1" s="43"/>
      <c r="T1" s="43"/>
      <c r="U1" s="43"/>
      <c r="V1" s="43"/>
      <c r="W1" s="43"/>
      <c r="X1" s="43"/>
      <c r="Y1" s="43"/>
    </row>
    <row r="2">
      <c r="A2" s="141" t="s">
        <v>187</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188</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255</v>
      </c>
      <c r="E4" s="45" t="s">
        <v>256</v>
      </c>
      <c r="F4" s="45" t="s">
        <v>257</v>
      </c>
      <c r="G4" s="59" t="s">
        <v>258</v>
      </c>
      <c r="H4" s="59"/>
      <c r="I4" s="43"/>
      <c r="J4" s="43"/>
      <c r="K4" s="43"/>
      <c r="L4" s="43"/>
      <c r="M4" s="43"/>
      <c r="N4" s="43"/>
      <c r="O4" s="43"/>
      <c r="P4" s="43"/>
      <c r="Q4" s="43"/>
      <c r="R4" s="43"/>
      <c r="S4" s="43"/>
      <c r="T4" s="43"/>
      <c r="U4" s="43"/>
      <c r="V4" s="43"/>
      <c r="W4" s="43"/>
      <c r="X4" s="43"/>
      <c r="Y4" s="43"/>
    </row>
    <row r="5">
      <c r="A5" s="139"/>
      <c r="B5" s="49"/>
      <c r="C5" s="148" t="s">
        <v>187</v>
      </c>
      <c r="D5" s="177">
        <f>'Ratios 2021'!D8</f>
        <v>3.038530697</v>
      </c>
      <c r="E5" s="177">
        <f>'Ratios 2022'!D8</f>
        <v>2.123612523</v>
      </c>
      <c r="F5" s="177">
        <f>'Ratios 2023'!D8</f>
        <v>2.799574161</v>
      </c>
      <c r="G5" s="177">
        <f>average(D5:F5)</f>
        <v>2.653905794</v>
      </c>
      <c r="H5" s="150" t="s">
        <v>194</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195</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196</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255</v>
      </c>
      <c r="E9" s="45" t="s">
        <v>256</v>
      </c>
      <c r="F9" s="45" t="s">
        <v>257</v>
      </c>
      <c r="G9" s="59" t="s">
        <v>258</v>
      </c>
      <c r="H9" s="59"/>
      <c r="I9" s="43"/>
      <c r="J9" s="43"/>
      <c r="K9" s="43"/>
      <c r="L9" s="43"/>
      <c r="M9" s="43"/>
      <c r="N9" s="43"/>
      <c r="O9" s="43"/>
      <c r="P9" s="43"/>
      <c r="Q9" s="43"/>
      <c r="R9" s="43"/>
      <c r="S9" s="43"/>
      <c r="T9" s="43"/>
      <c r="U9" s="43"/>
      <c r="V9" s="43"/>
      <c r="W9" s="43"/>
      <c r="X9" s="43"/>
      <c r="Y9" s="43"/>
    </row>
    <row r="10">
      <c r="A10" s="139"/>
      <c r="B10" s="49"/>
      <c r="C10" s="148" t="s">
        <v>195</v>
      </c>
      <c r="D10" s="149">
        <f>'Ratios 2021'!D14</f>
        <v>13.11843198</v>
      </c>
      <c r="E10" s="149">
        <f>'Ratios 2022'!D14</f>
        <v>7.732750644</v>
      </c>
      <c r="F10" s="149">
        <f>'Ratios 2023'!D14</f>
        <v>6.554260443</v>
      </c>
      <c r="G10" s="177">
        <f>average(D10:F10)</f>
        <v>9.135147687</v>
      </c>
      <c r="H10" s="150" t="s">
        <v>194</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200</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201</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255</v>
      </c>
      <c r="E14" s="45" t="s">
        <v>256</v>
      </c>
      <c r="F14" s="45" t="s">
        <v>257</v>
      </c>
      <c r="G14" s="59" t="s">
        <v>258</v>
      </c>
      <c r="H14" s="59"/>
      <c r="I14" s="43"/>
      <c r="J14" s="43"/>
      <c r="K14" s="43"/>
      <c r="L14" s="43"/>
      <c r="M14" s="43"/>
      <c r="N14" s="43"/>
      <c r="O14" s="43"/>
      <c r="P14" s="43"/>
      <c r="Q14" s="43"/>
      <c r="R14" s="43"/>
      <c r="S14" s="43"/>
      <c r="T14" s="43"/>
      <c r="U14" s="43"/>
      <c r="V14" s="43"/>
      <c r="W14" s="43"/>
      <c r="X14" s="43"/>
      <c r="Y14" s="43"/>
    </row>
    <row r="15">
      <c r="A15" s="139"/>
      <c r="B15" s="49"/>
      <c r="C15" s="148" t="s">
        <v>203</v>
      </c>
      <c r="D15" s="180">
        <f>'Ratios 2021'!D20</f>
        <v>24.32228175</v>
      </c>
      <c r="E15" s="180">
        <f>'Ratios 2022'!D20</f>
        <v>15.39882652</v>
      </c>
      <c r="F15" s="180">
        <f>'Ratios 2023'!D20</f>
        <v>13.585168</v>
      </c>
      <c r="G15" s="177">
        <f>average(D15:F15)</f>
        <v>17.76875876</v>
      </c>
      <c r="H15" s="150" t="s">
        <v>194</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205</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206</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255</v>
      </c>
      <c r="E19" s="45" t="s">
        <v>256</v>
      </c>
      <c r="F19" s="45" t="s">
        <v>257</v>
      </c>
      <c r="G19" s="59" t="s">
        <v>258</v>
      </c>
      <c r="H19" s="59"/>
      <c r="I19" s="43"/>
      <c r="J19" s="43"/>
      <c r="K19" s="43"/>
      <c r="L19" s="43"/>
      <c r="M19" s="43"/>
      <c r="N19" s="43"/>
      <c r="O19" s="43"/>
      <c r="P19" s="43"/>
      <c r="Q19" s="43"/>
      <c r="R19" s="43"/>
      <c r="S19" s="43"/>
      <c r="T19" s="43"/>
      <c r="U19" s="43"/>
      <c r="V19" s="43"/>
      <c r="W19" s="43"/>
      <c r="X19" s="43"/>
      <c r="Y19" s="43"/>
    </row>
    <row r="20">
      <c r="A20" s="139"/>
      <c r="B20" s="49"/>
      <c r="C20" s="148" t="s">
        <v>205</v>
      </c>
      <c r="D20" s="163">
        <f>'Ratios 2021'!D26</f>
        <v>0.788796561</v>
      </c>
      <c r="E20" s="163">
        <f>'Ratios 2022'!D26</f>
        <v>0.6944582023</v>
      </c>
      <c r="F20" s="163">
        <f>'Ratios 2023'!D26</f>
        <v>0.7173711604</v>
      </c>
      <c r="G20" s="181">
        <f>average(D20:F20)</f>
        <v>0.7335419746</v>
      </c>
      <c r="H20" s="150" t="s">
        <v>209</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210</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211</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255</v>
      </c>
      <c r="E24" s="45" t="s">
        <v>256</v>
      </c>
      <c r="F24" s="45" t="s">
        <v>257</v>
      </c>
      <c r="G24" s="59" t="s">
        <v>258</v>
      </c>
      <c r="H24" s="59"/>
      <c r="I24" s="43"/>
      <c r="J24" s="43"/>
      <c r="K24" s="43"/>
      <c r="L24" s="43"/>
      <c r="M24" s="43"/>
      <c r="N24" s="43"/>
      <c r="O24" s="43"/>
      <c r="P24" s="43"/>
      <c r="Q24" s="43"/>
      <c r="R24" s="43"/>
      <c r="S24" s="43"/>
      <c r="T24" s="43"/>
      <c r="U24" s="43"/>
      <c r="V24" s="43"/>
      <c r="W24" s="43"/>
      <c r="X24" s="43"/>
      <c r="Y24" s="43"/>
    </row>
    <row r="25">
      <c r="A25" s="139"/>
      <c r="B25" s="49"/>
      <c r="C25" s="148" t="s">
        <v>215</v>
      </c>
      <c r="D25" s="163">
        <f>'Ratios 2021'!D33</f>
        <v>0.4863559983</v>
      </c>
      <c r="E25" s="163">
        <f>'Ratios 2022'!D33</f>
        <v>0.4021972391</v>
      </c>
      <c r="F25" s="163">
        <f>'Ratios 2023'!D33</f>
        <v>0.3888275591</v>
      </c>
      <c r="G25" s="181">
        <f>average(D25:F25)</f>
        <v>0.4257935988</v>
      </c>
      <c r="H25" s="150" t="s">
        <v>216</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217</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218</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255</v>
      </c>
      <c r="E29" s="45" t="s">
        <v>256</v>
      </c>
      <c r="F29" s="45" t="s">
        <v>257</v>
      </c>
      <c r="G29" s="59" t="s">
        <v>258</v>
      </c>
      <c r="H29" s="59"/>
      <c r="I29" s="43"/>
      <c r="J29" s="43"/>
      <c r="K29" s="43"/>
      <c r="L29" s="43"/>
      <c r="M29" s="43"/>
      <c r="N29" s="43"/>
      <c r="O29" s="43"/>
      <c r="P29" s="43"/>
      <c r="Q29" s="43"/>
      <c r="R29" s="43"/>
      <c r="S29" s="43"/>
      <c r="T29" s="43"/>
      <c r="U29" s="43"/>
      <c r="V29" s="43"/>
      <c r="W29" s="43"/>
      <c r="X29" s="43"/>
      <c r="Y29" s="43"/>
    </row>
    <row r="30">
      <c r="A30" s="139"/>
      <c r="B30" s="49"/>
      <c r="C30" s="148" t="s">
        <v>217</v>
      </c>
      <c r="D30" s="163">
        <f>'Ratios 2021'!D38</f>
        <v>0.1589290121</v>
      </c>
      <c r="E30" s="163">
        <f>'Ratios 2022'!D38</f>
        <v>0.1705944777</v>
      </c>
      <c r="F30" s="163">
        <f>'Ratios 2023'!D38</f>
        <v>0.1754267841</v>
      </c>
      <c r="G30" s="181">
        <f>average(D30:F30)</f>
        <v>0.168316758</v>
      </c>
      <c r="H30" s="150" t="s">
        <v>220</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221</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222</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255</v>
      </c>
      <c r="E34" s="45" t="s">
        <v>256</v>
      </c>
      <c r="F34" s="45" t="s">
        <v>257</v>
      </c>
      <c r="G34" s="59" t="s">
        <v>258</v>
      </c>
      <c r="H34" s="59"/>
      <c r="I34" s="43"/>
      <c r="J34" s="43"/>
      <c r="K34" s="43"/>
      <c r="L34" s="43"/>
      <c r="M34" s="43"/>
      <c r="N34" s="43"/>
      <c r="O34" s="43"/>
      <c r="P34" s="43"/>
      <c r="Q34" s="43"/>
      <c r="R34" s="43"/>
      <c r="S34" s="43"/>
      <c r="T34" s="43"/>
      <c r="U34" s="43"/>
      <c r="V34" s="43"/>
      <c r="W34" s="43"/>
      <c r="X34" s="43"/>
      <c r="Y34" s="43"/>
    </row>
    <row r="35">
      <c r="A35" s="139"/>
      <c r="B35" s="49"/>
      <c r="C35" s="148" t="s">
        <v>259</v>
      </c>
      <c r="D35" s="163">
        <f>'Ratios 2021'!E41</f>
        <v>0.7818722074</v>
      </c>
      <c r="E35" s="163">
        <f>'Ratios 2022'!E41</f>
        <v>0.8026211377</v>
      </c>
      <c r="F35" s="163">
        <f>'Ratios 2023'!E41</f>
        <v>0.800490802</v>
      </c>
      <c r="G35" s="181">
        <f t="shared" ref="G35:G37" si="1">average(D35:F35)</f>
        <v>0.7949947157</v>
      </c>
      <c r="H35" s="181"/>
      <c r="I35" s="43"/>
      <c r="J35" s="43"/>
      <c r="K35" s="43"/>
      <c r="L35" s="43"/>
      <c r="M35" s="43"/>
      <c r="N35" s="43"/>
      <c r="O35" s="43"/>
      <c r="P35" s="43"/>
      <c r="Q35" s="43"/>
      <c r="R35" s="43"/>
      <c r="S35" s="43"/>
      <c r="T35" s="43"/>
      <c r="U35" s="43"/>
      <c r="V35" s="43"/>
      <c r="W35" s="43"/>
      <c r="X35" s="43"/>
      <c r="Y35" s="43"/>
    </row>
    <row r="36">
      <c r="A36" s="139"/>
      <c r="B36" s="52"/>
      <c r="C36" s="148" t="s">
        <v>224</v>
      </c>
      <c r="D36" s="163">
        <f>'Ratios 2021'!E42</f>
        <v>0.1930186081</v>
      </c>
      <c r="E36" s="163">
        <f>'Ratios 2022'!E42</f>
        <v>0.1749466797</v>
      </c>
      <c r="F36" s="163">
        <f>'Ratios 2023'!E42</f>
        <v>0.1801286155</v>
      </c>
      <c r="G36" s="181">
        <f t="shared" si="1"/>
        <v>0.1826979678</v>
      </c>
      <c r="H36" s="181"/>
      <c r="I36" s="43"/>
      <c r="J36" s="43"/>
      <c r="K36" s="43"/>
      <c r="L36" s="43"/>
      <c r="M36" s="43"/>
      <c r="N36" s="43"/>
      <c r="O36" s="43"/>
      <c r="P36" s="43"/>
      <c r="Q36" s="43"/>
      <c r="R36" s="43"/>
      <c r="S36" s="43"/>
      <c r="T36" s="43"/>
      <c r="U36" s="43"/>
      <c r="V36" s="43"/>
      <c r="W36" s="43"/>
      <c r="X36" s="43"/>
      <c r="Y36" s="43"/>
    </row>
    <row r="37">
      <c r="A37" s="139"/>
      <c r="B37" s="182"/>
      <c r="C37" s="148" t="s">
        <v>225</v>
      </c>
      <c r="D37" s="163">
        <f>'Ratios 2021'!E43</f>
        <v>0.02510918456</v>
      </c>
      <c r="E37" s="163">
        <f>'Ratios 2022'!E43</f>
        <v>0.02243218264</v>
      </c>
      <c r="F37" s="163">
        <f>'Ratios 2023'!E43</f>
        <v>0.01938058244</v>
      </c>
      <c r="G37" s="181">
        <f t="shared" si="1"/>
        <v>0.02230731655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226</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227</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255</v>
      </c>
      <c r="E41" s="45" t="s">
        <v>256</v>
      </c>
      <c r="F41" s="45" t="s">
        <v>257</v>
      </c>
      <c r="G41" s="59" t="s">
        <v>258</v>
      </c>
      <c r="H41" s="59"/>
      <c r="I41" s="43"/>
      <c r="J41" s="43"/>
      <c r="K41" s="43"/>
      <c r="L41" s="43"/>
      <c r="M41" s="43"/>
      <c r="N41" s="43"/>
      <c r="O41" s="43"/>
      <c r="P41" s="43"/>
      <c r="Q41" s="43"/>
      <c r="R41" s="43"/>
      <c r="S41" s="43"/>
      <c r="T41" s="43"/>
      <c r="U41" s="43"/>
      <c r="V41" s="43"/>
      <c r="W41" s="43"/>
      <c r="X41" s="43"/>
      <c r="Y41" s="43"/>
    </row>
    <row r="42">
      <c r="A42" s="139"/>
      <c r="B42" s="49"/>
      <c r="C42" s="148" t="s">
        <v>230</v>
      </c>
      <c r="D42" s="166">
        <f>'Ratios 2021'!D49</f>
        <v>38.97339754</v>
      </c>
      <c r="E42" s="166">
        <f>'Ratios 2022'!D49</f>
        <v>32.70838108</v>
      </c>
      <c r="F42" s="166">
        <f>'Ratios 2023'!D49</f>
        <v>40.6246078</v>
      </c>
      <c r="G42" s="183">
        <f>average(D42:F42)</f>
        <v>37.43546214</v>
      </c>
      <c r="H42" s="150" t="s">
        <v>231</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232</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233</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255</v>
      </c>
      <c r="E46" s="45" t="s">
        <v>256</v>
      </c>
      <c r="F46" s="45" t="s">
        <v>257</v>
      </c>
      <c r="G46" s="59" t="s">
        <v>258</v>
      </c>
      <c r="H46" s="59"/>
      <c r="I46" s="43"/>
      <c r="J46" s="43"/>
      <c r="K46" s="43"/>
      <c r="L46" s="43"/>
      <c r="M46" s="43"/>
      <c r="N46" s="43"/>
      <c r="O46" s="43"/>
      <c r="P46" s="43"/>
      <c r="Q46" s="43"/>
      <c r="R46" s="43"/>
      <c r="S46" s="43"/>
      <c r="T46" s="43"/>
      <c r="U46" s="43"/>
      <c r="V46" s="43"/>
      <c r="W46" s="43"/>
      <c r="X46" s="43"/>
      <c r="Y46" s="43"/>
    </row>
    <row r="47">
      <c r="A47" s="139"/>
      <c r="B47" s="49"/>
      <c r="C47" s="148" t="s">
        <v>236</v>
      </c>
      <c r="D47" s="149">
        <f>'Ratios 2021'!D54</f>
        <v>3.443600507</v>
      </c>
      <c r="E47" s="149">
        <f>'Ratios 2022'!D54</f>
        <v>2.533715458</v>
      </c>
      <c r="F47" s="149">
        <f>'Ratios 2023'!D54</f>
        <v>3.446391029</v>
      </c>
      <c r="G47" s="177">
        <f>average(D47:F47)</f>
        <v>3.141235665</v>
      </c>
      <c r="H47" s="150" t="s">
        <v>237</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238</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239</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255</v>
      </c>
      <c r="E51" s="45" t="s">
        <v>256</v>
      </c>
      <c r="F51" s="45" t="s">
        <v>257</v>
      </c>
      <c r="G51" s="59" t="s">
        <v>258</v>
      </c>
      <c r="H51" s="59"/>
      <c r="I51" s="43"/>
      <c r="J51" s="43"/>
      <c r="K51" s="43"/>
      <c r="L51" s="43"/>
      <c r="M51" s="43"/>
      <c r="N51" s="43"/>
      <c r="O51" s="43"/>
      <c r="P51" s="43"/>
      <c r="Q51" s="43"/>
      <c r="R51" s="43"/>
      <c r="S51" s="43"/>
      <c r="T51" s="43"/>
      <c r="U51" s="43"/>
      <c r="V51" s="43"/>
      <c r="W51" s="43"/>
      <c r="X51" s="43"/>
      <c r="Y51" s="43"/>
    </row>
    <row r="52">
      <c r="A52" s="139"/>
      <c r="B52" s="49"/>
      <c r="C52" s="148" t="s">
        <v>242</v>
      </c>
      <c r="D52" s="184">
        <f>'Ratios 2021'!D59</f>
        <v>0.008120040265</v>
      </c>
      <c r="E52" s="184">
        <f>'Ratios 2022'!D59</f>
        <v>0.007943131032</v>
      </c>
      <c r="F52" s="184">
        <f>'Ratios 2023'!D59</f>
        <v>0.01483458248</v>
      </c>
      <c r="G52" s="185">
        <f>average(D52:F52)</f>
        <v>0.01029925126</v>
      </c>
      <c r="H52" s="150" t="s">
        <v>243</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ASPEN INSTITUTE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ASPEN INSTITUTE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1115907.0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4500898.0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1.35078797E8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1.0448358E7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140695602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1.7079149E7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8990917.0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2515732.0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1136.0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28586934</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907211.0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132559.0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125624.0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6935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6935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3.07961739E8</v>
      </c>
      <c r="E26" s="50">
        <v>291428.0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3.07066996E8</v>
      </c>
      <c r="E27" s="50">
        <v>270850.0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894743</v>
      </c>
      <c r="E28" s="75">
        <f t="shared" si="2"/>
        <v>20578</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915321</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28130.0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597369.0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-569239</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364790.0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303392.0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102</v>
      </c>
      <c r="D41" s="74"/>
      <c r="E41" s="48">
        <v>35740.0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103</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703922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104</v>
      </c>
      <c r="D44" s="88"/>
      <c r="E44" s="88"/>
      <c r="F44" s="89">
        <f>sum(F16:F43)+F9</f>
        <v>171246686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ASPEN INSTITUTE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80">
        <v>1.0</v>
      </c>
      <c r="B3" s="96" t="s">
        <v>109</v>
      </c>
      <c r="C3" s="98">
        <f t="shared" ref="C3:C39" si="1">sum(D3:F3)</f>
        <v>13662257</v>
      </c>
      <c r="D3" s="99">
        <v>1.3662257E7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110</v>
      </c>
      <c r="C4" s="98">
        <f t="shared" si="1"/>
        <v>778444</v>
      </c>
      <c r="D4" s="99">
        <v>778444.0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111</v>
      </c>
      <c r="C5" s="98">
        <f t="shared" si="1"/>
        <v>4417304</v>
      </c>
      <c r="D5" s="99">
        <v>4417304.0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112</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113</v>
      </c>
      <c r="C7" s="98">
        <f t="shared" si="1"/>
        <v>2729901</v>
      </c>
      <c r="D7" s="99">
        <v>433833.0</v>
      </c>
      <c r="E7" s="99">
        <v>2136261.0</v>
      </c>
      <c r="F7" s="99">
        <v>159807.0</v>
      </c>
      <c r="G7" s="43"/>
      <c r="H7" s="43"/>
      <c r="I7" s="43"/>
      <c r="J7" s="43"/>
      <c r="K7" s="43"/>
      <c r="L7" s="43"/>
      <c r="M7" s="43"/>
      <c r="N7" s="43"/>
      <c r="O7" s="43"/>
      <c r="P7" s="43"/>
      <c r="Q7" s="43"/>
      <c r="R7" s="43"/>
      <c r="S7" s="43"/>
      <c r="T7" s="43"/>
      <c r="U7" s="43"/>
      <c r="V7" s="43"/>
      <c r="W7" s="43"/>
      <c r="X7" s="43"/>
      <c r="Y7" s="43"/>
      <c r="Z7" s="43"/>
    </row>
    <row r="8">
      <c r="A8" s="80">
        <v>6.0</v>
      </c>
      <c r="B8" s="96" t="s">
        <v>114</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115</v>
      </c>
      <c r="C9" s="98">
        <f t="shared" si="1"/>
        <v>53239622</v>
      </c>
      <c r="D9" s="99">
        <v>4.0190913E7</v>
      </c>
      <c r="E9" s="99">
        <v>1.0868319E7</v>
      </c>
      <c r="F9" s="99">
        <v>2180390.0</v>
      </c>
      <c r="G9" s="43"/>
      <c r="H9" s="43"/>
      <c r="I9" s="43"/>
      <c r="J9" s="43"/>
      <c r="K9" s="43"/>
      <c r="L9" s="43"/>
      <c r="M9" s="43"/>
      <c r="N9" s="43"/>
      <c r="O9" s="43"/>
      <c r="P9" s="43"/>
      <c r="Q9" s="43"/>
      <c r="R9" s="43"/>
      <c r="S9" s="43"/>
      <c r="T9" s="43"/>
      <c r="U9" s="43"/>
      <c r="V9" s="43"/>
      <c r="W9" s="43"/>
      <c r="X9" s="43"/>
      <c r="Y9" s="43"/>
      <c r="Z9" s="43"/>
    </row>
    <row r="10">
      <c r="A10" s="80">
        <v>8.0</v>
      </c>
      <c r="B10" s="96" t="s">
        <v>116</v>
      </c>
      <c r="C10" s="98">
        <f t="shared" si="1"/>
        <v>4276778</v>
      </c>
      <c r="D10" s="99">
        <v>3639578.0</v>
      </c>
      <c r="E10" s="99">
        <v>423731.0</v>
      </c>
      <c r="F10" s="99">
        <v>213469.0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8">
        <f t="shared" si="1"/>
        <v>4618403</v>
      </c>
      <c r="D11" s="99">
        <v>3393844.0</v>
      </c>
      <c r="E11" s="99">
        <v>923765.0</v>
      </c>
      <c r="F11" s="99">
        <v>300794.0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8">
        <f t="shared" si="1"/>
        <v>5060529</v>
      </c>
      <c r="D12" s="99">
        <v>4739572.0</v>
      </c>
      <c r="E12" s="99">
        <v>161786.0</v>
      </c>
      <c r="F12" s="99">
        <v>159171.0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8">
        <f t="shared" si="1"/>
        <v>10291120</v>
      </c>
      <c r="D14" s="99">
        <v>1.029112E7</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8">
        <f t="shared" si="1"/>
        <v>453729</v>
      </c>
      <c r="D15" s="99">
        <v>299356.0</v>
      </c>
      <c r="E15" s="99">
        <v>154373.0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8">
        <f t="shared" si="1"/>
        <v>142947</v>
      </c>
      <c r="D16" s="99">
        <v>0.0</v>
      </c>
      <c r="E16" s="99">
        <v>142947.0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8">
        <f t="shared" si="1"/>
        <v>1200594</v>
      </c>
      <c r="D19" s="99">
        <v>0.0</v>
      </c>
      <c r="E19" s="99">
        <v>1200594.0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8">
        <f t="shared" si="1"/>
        <v>22337210</v>
      </c>
      <c r="D20" s="99">
        <v>1.7922591E7</v>
      </c>
      <c r="E20" s="99">
        <v>4272396.0</v>
      </c>
      <c r="F20" s="99">
        <v>142223.0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8">
        <f t="shared" si="1"/>
        <v>3032028</v>
      </c>
      <c r="D22" s="99">
        <v>2248163.0</v>
      </c>
      <c r="E22" s="99">
        <v>728062.0</v>
      </c>
      <c r="F22" s="99">
        <v>55803.0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8">
        <f t="shared" si="1"/>
        <v>983787</v>
      </c>
      <c r="D23" s="99">
        <v>711872.0</v>
      </c>
      <c r="E23" s="99">
        <v>251278.0</v>
      </c>
      <c r="F23" s="99">
        <v>20637.0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8">
        <f t="shared" si="1"/>
        <v>5920843</v>
      </c>
      <c r="D25" s="99">
        <v>3586777.0</v>
      </c>
      <c r="E25" s="99">
        <v>2157519.0</v>
      </c>
      <c r="F25" s="99">
        <v>176547.0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8">
        <f t="shared" si="1"/>
        <v>3742433</v>
      </c>
      <c r="D26" s="99">
        <v>3399639.0</v>
      </c>
      <c r="E26" s="99">
        <v>326928.0</v>
      </c>
      <c r="F26" s="99">
        <v>15866.0</v>
      </c>
      <c r="G26" s="43"/>
      <c r="H26" s="43"/>
      <c r="I26" s="43"/>
      <c r="J26" s="43"/>
      <c r="K26" s="43"/>
      <c r="L26" s="43"/>
      <c r="M26" s="43"/>
      <c r="N26" s="43"/>
      <c r="O26" s="43"/>
      <c r="P26" s="43"/>
      <c r="Q26" s="43"/>
      <c r="R26" s="43"/>
      <c r="S26" s="43"/>
      <c r="T26" s="43"/>
      <c r="U26" s="43"/>
      <c r="V26" s="43"/>
      <c r="W26" s="43"/>
      <c r="X26" s="43"/>
      <c r="Y26" s="43"/>
      <c r="Z26" s="43"/>
    </row>
    <row r="27">
      <c r="A27" s="80">
        <v>18.0</v>
      </c>
      <c r="B27" s="96" t="s">
        <v>133</v>
      </c>
      <c r="C27" s="98">
        <f t="shared" si="1"/>
        <v>167410</v>
      </c>
      <c r="D27" s="99">
        <v>167410.0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8">
        <f t="shared" si="1"/>
        <v>62783</v>
      </c>
      <c r="D29" s="99">
        <v>62783.0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8">
        <f t="shared" si="1"/>
        <v>3280847</v>
      </c>
      <c r="D31" s="99">
        <v>0.0</v>
      </c>
      <c r="E31" s="99">
        <v>3280847.0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8">
        <f t="shared" si="1"/>
        <v>424469</v>
      </c>
      <c r="D32" s="99">
        <v>438.0</v>
      </c>
      <c r="E32" s="99">
        <v>424031.0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120</v>
      </c>
      <c r="B34" s="102" t="s">
        <v>140</v>
      </c>
      <c r="C34" s="98">
        <f t="shared" si="1"/>
        <v>1205584</v>
      </c>
      <c r="D34" s="99">
        <v>1205584.0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141</v>
      </c>
      <c r="C35" s="98">
        <f t="shared" si="1"/>
        <v>964579</v>
      </c>
      <c r="D35" s="99">
        <v>912011.0</v>
      </c>
      <c r="E35" s="99">
        <v>45387.0</v>
      </c>
      <c r="F35" s="99">
        <v>7181.0</v>
      </c>
      <c r="G35" s="43"/>
      <c r="H35" s="43"/>
      <c r="I35" s="43"/>
      <c r="J35" s="43"/>
      <c r="K35" s="43"/>
      <c r="L35" s="43"/>
      <c r="M35" s="43"/>
      <c r="N35" s="43"/>
      <c r="O35" s="43"/>
      <c r="P35" s="43"/>
      <c r="Q35" s="43"/>
      <c r="R35" s="43"/>
      <c r="S35" s="43"/>
      <c r="T35" s="43"/>
      <c r="U35" s="43"/>
      <c r="V35" s="43"/>
      <c r="W35" s="43"/>
      <c r="X35" s="43"/>
      <c r="Y35" s="43"/>
      <c r="Z35" s="43"/>
    </row>
    <row r="36">
      <c r="A36" s="45" t="s">
        <v>50</v>
      </c>
      <c r="B36" s="103" t="s">
        <v>142</v>
      </c>
      <c r="C36" s="98">
        <f t="shared" si="1"/>
        <v>398141</v>
      </c>
      <c r="D36" s="99">
        <v>145353.0</v>
      </c>
      <c r="E36" s="99">
        <v>252788.0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143</v>
      </c>
      <c r="C37" s="98">
        <f t="shared" si="1"/>
        <v>382023</v>
      </c>
      <c r="D37" s="99">
        <v>203869.0</v>
      </c>
      <c r="E37" s="99">
        <v>0.0</v>
      </c>
      <c r="F37" s="99">
        <v>178154.0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4">
        <f t="shared" ref="C40:F40" si="2">sum(C3:C39)</f>
        <v>143773765</v>
      </c>
      <c r="D40" s="104">
        <f t="shared" si="2"/>
        <v>112412711</v>
      </c>
      <c r="E40" s="104">
        <f t="shared" si="2"/>
        <v>27751012</v>
      </c>
      <c r="F40" s="104">
        <f t="shared" si="2"/>
        <v>3610042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ASPEN INSTITUTE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146</v>
      </c>
      <c r="B2" s="45">
        <v>1.0</v>
      </c>
      <c r="C2" s="46" t="s">
        <v>147</v>
      </c>
      <c r="D2" s="111"/>
      <c r="E2" s="112">
        <v>1.5569294E7</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3"/>
      <c r="E3" s="112">
        <v>2.0005043E7</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1"/>
      <c r="E4" s="112">
        <v>4.9885211E7</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3"/>
      <c r="E5" s="112">
        <v>6960249.0</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3"/>
      <c r="E9" s="112">
        <v>283265.0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1"/>
      <c r="E10" s="112">
        <v>2147646.0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2">
        <v>1.35038341E8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2">
        <v>5.8459221E7</v>
      </c>
      <c r="E12" s="109">
        <f>D11-D12</f>
        <v>76579120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3"/>
      <c r="E13" s="112">
        <v>7.564381E7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3"/>
      <c r="E14" s="112">
        <v>2.15765025E8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3"/>
      <c r="E17" s="112">
        <v>2676270.0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4"/>
      <c r="E18" s="115">
        <f>sum(E2:E17)</f>
        <v>465514933</v>
      </c>
      <c r="F18" s="43"/>
      <c r="G18" s="43"/>
      <c r="H18" s="43"/>
      <c r="I18" s="43"/>
      <c r="J18" s="43"/>
      <c r="K18" s="43"/>
      <c r="L18" s="43"/>
      <c r="M18" s="43"/>
      <c r="N18" s="43"/>
      <c r="O18" s="43"/>
      <c r="P18" s="43"/>
      <c r="Q18" s="43"/>
      <c r="R18" s="43"/>
      <c r="S18" s="43"/>
      <c r="T18" s="43"/>
      <c r="U18" s="43"/>
      <c r="V18" s="43"/>
      <c r="W18" s="43"/>
      <c r="X18" s="43"/>
      <c r="Y18" s="43"/>
      <c r="Z18" s="43"/>
    </row>
    <row r="19">
      <c r="A19" s="44" t="s">
        <v>166</v>
      </c>
      <c r="B19" s="116">
        <v>17.0</v>
      </c>
      <c r="C19" s="117" t="s">
        <v>167</v>
      </c>
      <c r="D19" s="118"/>
      <c r="E19" s="112">
        <v>1.3594228E7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168</v>
      </c>
      <c r="D20" s="118"/>
      <c r="E20" s="112">
        <v>1916128.0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169</v>
      </c>
      <c r="D21" s="118"/>
      <c r="E21" s="112">
        <v>1.2033695E7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173</v>
      </c>
      <c r="D25" s="122"/>
      <c r="E25" s="119">
        <v>3780000.0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175</v>
      </c>
      <c r="D27" s="118"/>
      <c r="E27" s="119">
        <v>2.1757447E7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176</v>
      </c>
      <c r="D28" s="126"/>
      <c r="E28" s="127">
        <f>sum(E19:E27)</f>
        <v>53081498</v>
      </c>
      <c r="F28" s="43"/>
      <c r="G28" s="43"/>
      <c r="H28" s="43"/>
      <c r="I28" s="43"/>
      <c r="J28" s="43"/>
      <c r="K28" s="43"/>
      <c r="L28" s="43"/>
      <c r="M28" s="43"/>
      <c r="N28" s="43"/>
      <c r="O28" s="43"/>
      <c r="P28" s="43"/>
      <c r="Q28" s="43"/>
      <c r="R28" s="43"/>
      <c r="S28" s="43"/>
      <c r="T28" s="43"/>
      <c r="U28" s="43"/>
      <c r="V28" s="43"/>
      <c r="W28" s="43"/>
      <c r="X28" s="43"/>
      <c r="Y28" s="43"/>
      <c r="Z28" s="43"/>
    </row>
    <row r="29">
      <c r="A29" s="65" t="s">
        <v>177</v>
      </c>
      <c r="B29" s="128"/>
      <c r="C29" s="129" t="s">
        <v>178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179</v>
      </c>
      <c r="D30" s="118"/>
      <c r="E30" s="112">
        <v>1.57173863E8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180</v>
      </c>
      <c r="D31" s="118"/>
      <c r="E31" s="112">
        <v>2.55259572E8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185</v>
      </c>
      <c r="D36" s="132"/>
      <c r="E36" s="127">
        <f>sum(E30:E35)</f>
        <v>412433435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186</v>
      </c>
      <c r="D37" s="136"/>
      <c r="E37" s="137">
        <f>E36+E28</f>
        <v>465514933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ASPEN INSTITUTE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188</v>
      </c>
      <c r="C3" s="145" t="s">
        <v>189</v>
      </c>
      <c r="D3" s="146">
        <f>'Expenses 2021'!C40</f>
        <v>143773765</v>
      </c>
      <c r="E3" s="147"/>
      <c r="F3" s="43"/>
      <c r="G3" s="43"/>
      <c r="H3" s="43"/>
      <c r="I3" s="43"/>
      <c r="J3" s="43"/>
      <c r="K3" s="43"/>
      <c r="L3" s="43"/>
      <c r="M3" s="43"/>
      <c r="N3" s="43"/>
      <c r="O3" s="43"/>
      <c r="P3" s="43"/>
      <c r="Q3" s="43"/>
      <c r="R3" s="43"/>
      <c r="S3" s="43"/>
      <c r="T3" s="43"/>
      <c r="U3" s="43"/>
      <c r="V3" s="43"/>
      <c r="W3" s="43"/>
      <c r="X3" s="43"/>
      <c r="Y3" s="43"/>
    </row>
    <row r="4">
      <c r="A4" s="139"/>
      <c r="B4" s="49"/>
      <c r="C4" s="145" t="s">
        <v>190</v>
      </c>
      <c r="D4" s="146">
        <f>'Expenses 2021'!C31</f>
        <v>3280847</v>
      </c>
      <c r="E4" s="147"/>
      <c r="F4" s="43"/>
      <c r="G4" s="43"/>
      <c r="H4" s="43"/>
      <c r="I4" s="43"/>
      <c r="J4" s="43"/>
      <c r="K4" s="43"/>
      <c r="L4" s="43"/>
      <c r="M4" s="43"/>
      <c r="N4" s="43"/>
      <c r="O4" s="43"/>
      <c r="P4" s="43"/>
      <c r="Q4" s="43"/>
      <c r="R4" s="43"/>
      <c r="S4" s="43"/>
      <c r="T4" s="43"/>
      <c r="U4" s="43"/>
      <c r="V4" s="43"/>
      <c r="W4" s="43"/>
      <c r="X4" s="43"/>
      <c r="Y4" s="43"/>
    </row>
    <row r="5">
      <c r="A5" s="139"/>
      <c r="B5" s="49"/>
      <c r="C5" s="145" t="s">
        <v>191</v>
      </c>
      <c r="D5" s="146">
        <f>D3-D4</f>
        <v>140492918</v>
      </c>
      <c r="E5" s="147"/>
      <c r="F5" s="43"/>
      <c r="G5" s="43"/>
      <c r="H5" s="43"/>
      <c r="I5" s="43"/>
      <c r="J5" s="43"/>
      <c r="K5" s="43"/>
      <c r="L5" s="43"/>
      <c r="M5" s="43"/>
      <c r="N5" s="43"/>
      <c r="O5" s="43"/>
      <c r="P5" s="43"/>
      <c r="Q5" s="43"/>
      <c r="R5" s="43"/>
      <c r="S5" s="43"/>
      <c r="T5" s="43"/>
      <c r="U5" s="43"/>
      <c r="V5" s="43"/>
      <c r="W5" s="43"/>
      <c r="X5" s="43"/>
      <c r="Y5" s="43"/>
    </row>
    <row r="6">
      <c r="A6" s="139"/>
      <c r="B6" s="49"/>
      <c r="C6" s="145" t="s">
        <v>192</v>
      </c>
      <c r="D6" s="146">
        <f>D5/12</f>
        <v>11707743.17</v>
      </c>
      <c r="E6" s="147"/>
      <c r="F6" s="43"/>
      <c r="G6" s="43"/>
      <c r="H6" s="43"/>
      <c r="I6" s="43"/>
      <c r="J6" s="43"/>
      <c r="K6" s="43"/>
      <c r="L6" s="43"/>
      <c r="M6" s="43"/>
      <c r="N6" s="43"/>
      <c r="O6" s="43"/>
      <c r="P6" s="43"/>
      <c r="Q6" s="43"/>
      <c r="R6" s="43"/>
      <c r="S6" s="43"/>
      <c r="T6" s="43"/>
      <c r="U6" s="43"/>
      <c r="V6" s="43"/>
      <c r="W6" s="43"/>
      <c r="X6" s="43"/>
      <c r="Y6" s="43"/>
    </row>
    <row r="7">
      <c r="A7" s="139"/>
      <c r="B7" s="49"/>
      <c r="C7" s="145" t="s">
        <v>193</v>
      </c>
      <c r="D7" s="75">
        <f>'Balance Sheet 2021'!E2+'Balance Sheet 2021'!E3</f>
        <v>35574337</v>
      </c>
      <c r="E7" s="147"/>
      <c r="F7" s="43"/>
      <c r="G7" s="43"/>
      <c r="H7" s="43"/>
      <c r="I7" s="43"/>
      <c r="J7" s="43"/>
      <c r="K7" s="43"/>
      <c r="L7" s="43"/>
      <c r="M7" s="43"/>
      <c r="N7" s="43"/>
      <c r="O7" s="43"/>
      <c r="P7" s="43"/>
      <c r="Q7" s="43"/>
      <c r="R7" s="43"/>
      <c r="S7" s="43"/>
      <c r="T7" s="43"/>
      <c r="U7" s="43"/>
      <c r="V7" s="43"/>
      <c r="W7" s="43"/>
      <c r="X7" s="43"/>
      <c r="Y7" s="43"/>
    </row>
    <row r="8">
      <c r="A8" s="139"/>
      <c r="B8" s="49"/>
      <c r="C8" s="148" t="s">
        <v>187</v>
      </c>
      <c r="D8" s="149">
        <f>D7/D6</f>
        <v>3.038530697</v>
      </c>
      <c r="E8" s="150" t="s">
        <v>194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196</v>
      </c>
      <c r="C11" s="145" t="s">
        <v>197</v>
      </c>
      <c r="D11" s="75">
        <f>'Balance Sheet 2021'!E30</f>
        <v>157173863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198</v>
      </c>
      <c r="D12" s="75">
        <f>'Expenses 2021'!C40</f>
        <v>143773765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199</v>
      </c>
      <c r="D13" s="146">
        <f>D12/12</f>
        <v>11981147.08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195</v>
      </c>
      <c r="D14" s="149">
        <f>D11/D13</f>
        <v>13.11843198</v>
      </c>
      <c r="E14" s="150" t="s">
        <v>194</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201</v>
      </c>
      <c r="C17" s="145" t="s">
        <v>202</v>
      </c>
      <c r="D17" s="75">
        <f>sum('Balance Sheet 2021'!E13:E15)</f>
        <v>291408835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198</v>
      </c>
      <c r="D18" s="75">
        <f>'Expenses 2021'!C40</f>
        <v>143773765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199</v>
      </c>
      <c r="D19" s="146">
        <f>D18/12</f>
        <v>11981147.08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203</v>
      </c>
      <c r="D20" s="149">
        <f>D17/D19</f>
        <v>24.32228175</v>
      </c>
      <c r="E20" s="150" t="s">
        <v>194</v>
      </c>
      <c r="F20" s="43"/>
      <c r="G20" s="43"/>
      <c r="H20" s="43"/>
      <c r="I20" s="43"/>
      <c r="J20" s="43"/>
      <c r="K20" s="43"/>
      <c r="L20" s="43"/>
      <c r="M20" s="43"/>
      <c r="N20" s="43"/>
      <c r="O20" s="43"/>
      <c r="P20" s="43"/>
      <c r="Q20" s="43"/>
      <c r="R20" s="43"/>
      <c r="S20" s="43"/>
      <c r="T20" s="43"/>
      <c r="U20" s="43"/>
      <c r="V20" s="43"/>
      <c r="W20" s="43"/>
      <c r="X20" s="43"/>
      <c r="Y20" s="43"/>
    </row>
    <row r="21">
      <c r="A21" s="139"/>
      <c r="B21" s="49"/>
      <c r="C21" s="154" t="s">
        <v>204</v>
      </c>
      <c r="D21" s="155">
        <f>D20+D8</f>
        <v>27.36081244</v>
      </c>
      <c r="E21" s="156" t="s">
        <v>194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206</v>
      </c>
      <c r="C24" s="160"/>
      <c r="D24" s="161">
        <f>max('Revenues 2021'!E2:E7,'Revenues 2021'!F10:F15)</f>
        <v>135078797</v>
      </c>
      <c r="E24" s="162" t="s">
        <v>207</v>
      </c>
      <c r="F24" s="43"/>
      <c r="G24" s="43"/>
      <c r="H24" s="43"/>
      <c r="I24" s="43"/>
      <c r="J24" s="43"/>
      <c r="K24" s="43"/>
      <c r="L24" s="43"/>
      <c r="M24" s="43"/>
      <c r="N24" s="43"/>
      <c r="O24" s="43"/>
      <c r="P24" s="43"/>
      <c r="Q24" s="43"/>
      <c r="R24" s="43"/>
      <c r="S24" s="43"/>
      <c r="T24" s="43"/>
      <c r="U24" s="43"/>
      <c r="V24" s="43"/>
      <c r="W24" s="43"/>
      <c r="X24" s="43"/>
      <c r="Y24" s="43"/>
    </row>
    <row r="25">
      <c r="A25" s="139"/>
      <c r="B25" s="49"/>
      <c r="C25" s="145" t="s">
        <v>208</v>
      </c>
      <c r="D25" s="146">
        <f>'Revenues 2021'!F44</f>
        <v>171246686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205</v>
      </c>
      <c r="D26" s="163">
        <f>D24/D25</f>
        <v>0.788796561</v>
      </c>
      <c r="E26" s="150" t="s">
        <v>209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211</v>
      </c>
      <c r="C29" s="145" t="s">
        <v>212</v>
      </c>
      <c r="D29" s="75">
        <f>SUM('Expenses 2021'!C7:C9)</f>
        <v>55969523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213</v>
      </c>
      <c r="D30" s="75">
        <f>SUM('Expenses 2021'!C10:C12)</f>
        <v>13955710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214</v>
      </c>
      <c r="D31" s="75">
        <f>sum(D29:D30)</f>
        <v>69925233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189</v>
      </c>
      <c r="D32" s="75">
        <f>'Expenses 2021'!C40</f>
        <v>143773765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215</v>
      </c>
      <c r="D33" s="163">
        <f>D31/D32</f>
        <v>0.4863559983</v>
      </c>
      <c r="E33" s="150" t="s">
        <v>216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218</v>
      </c>
      <c r="C36" s="145" t="s">
        <v>219</v>
      </c>
      <c r="D36" s="75">
        <f>SUM('Expenses 2021'!C10:C11)</f>
        <v>8895181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212</v>
      </c>
      <c r="D37" s="75">
        <f>SUM('Expenses 2021'!C7:C9)</f>
        <v>55969523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217</v>
      </c>
      <c r="D38" s="163">
        <f>D36/D37</f>
        <v>0.1589290121</v>
      </c>
      <c r="E38" s="150" t="s">
        <v>220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222</v>
      </c>
      <c r="C41" s="148" t="s">
        <v>223</v>
      </c>
      <c r="D41" s="75">
        <f>'Expenses 2021'!D40</f>
        <v>112412711</v>
      </c>
      <c r="E41" s="165">
        <f t="shared" ref="E41:E44" si="1">D41/$D$44</f>
        <v>0.7818722074</v>
      </c>
      <c r="F41" s="43"/>
      <c r="G41" s="43"/>
      <c r="H41" s="43"/>
      <c r="I41" s="43"/>
      <c r="J41" s="43"/>
      <c r="K41" s="43"/>
      <c r="L41" s="43"/>
      <c r="M41" s="43"/>
      <c r="N41" s="43"/>
      <c r="O41" s="43"/>
      <c r="P41" s="43"/>
      <c r="Q41" s="43"/>
      <c r="R41" s="43"/>
      <c r="S41" s="43"/>
      <c r="T41" s="43"/>
      <c r="U41" s="43"/>
      <c r="V41" s="43"/>
      <c r="W41" s="43"/>
      <c r="X41" s="43"/>
      <c r="Y41" s="43"/>
    </row>
    <row r="42">
      <c r="A42" s="139"/>
      <c r="B42" s="49"/>
      <c r="C42" s="148" t="s">
        <v>224</v>
      </c>
      <c r="D42" s="146">
        <f>'Expenses 2021'!E40</f>
        <v>27751012</v>
      </c>
      <c r="E42" s="165">
        <f t="shared" si="1"/>
        <v>0.1930186081</v>
      </c>
      <c r="F42" s="43"/>
      <c r="G42" s="43"/>
      <c r="H42" s="43"/>
      <c r="I42" s="43"/>
      <c r="J42" s="43"/>
      <c r="K42" s="43"/>
      <c r="L42" s="43"/>
      <c r="M42" s="43"/>
      <c r="N42" s="43"/>
      <c r="O42" s="43"/>
      <c r="P42" s="43"/>
      <c r="Q42" s="43"/>
      <c r="R42" s="43"/>
      <c r="S42" s="43"/>
      <c r="T42" s="43"/>
      <c r="U42" s="43"/>
      <c r="V42" s="43"/>
      <c r="W42" s="43"/>
      <c r="X42" s="43"/>
      <c r="Y42" s="43"/>
    </row>
    <row r="43">
      <c r="A43" s="139"/>
      <c r="B43" s="49"/>
      <c r="C43" s="148" t="s">
        <v>225</v>
      </c>
      <c r="D43" s="146">
        <f>'Expenses 2021'!F40</f>
        <v>3610042</v>
      </c>
      <c r="E43" s="165">
        <f t="shared" si="1"/>
        <v>0.02510918456</v>
      </c>
      <c r="F43" s="43"/>
      <c r="G43" s="43"/>
      <c r="H43" s="43"/>
      <c r="I43" s="43"/>
      <c r="J43" s="43"/>
      <c r="K43" s="43"/>
      <c r="L43" s="43"/>
      <c r="M43" s="43"/>
      <c r="N43" s="43"/>
      <c r="O43" s="43"/>
      <c r="P43" s="43"/>
      <c r="Q43" s="43"/>
      <c r="R43" s="43"/>
      <c r="S43" s="43"/>
      <c r="T43" s="43"/>
      <c r="U43" s="43"/>
      <c r="V43" s="43"/>
      <c r="W43" s="43"/>
      <c r="X43" s="43"/>
      <c r="Y43" s="43"/>
    </row>
    <row r="44">
      <c r="A44" s="139"/>
      <c r="B44" s="49"/>
      <c r="C44" s="145" t="s">
        <v>189</v>
      </c>
      <c r="D44" s="146">
        <f>sum(D41:D43)</f>
        <v>143773765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227</v>
      </c>
      <c r="C47" s="145" t="s">
        <v>228</v>
      </c>
      <c r="D47" s="146">
        <f>'Revenues 2021'!F9</f>
        <v>140695602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229</v>
      </c>
      <c r="D48" s="146">
        <f>'Expenses 2021'!F40</f>
        <v>3610042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230</v>
      </c>
      <c r="D49" s="166">
        <f>D47/D48</f>
        <v>38.97339754</v>
      </c>
      <c r="E49" s="150" t="s">
        <v>231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233</v>
      </c>
      <c r="C52" s="145" t="s">
        <v>234</v>
      </c>
      <c r="D52" s="146">
        <f>sum('Balance Sheet 2021'!E2:E10)</f>
        <v>94850708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235</v>
      </c>
      <c r="D53" s="146">
        <f>sum('Balance Sheet 2021'!E19:E22)</f>
        <v>27544051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236</v>
      </c>
      <c r="D54" s="168">
        <f>D52/D53</f>
        <v>3.443600507</v>
      </c>
      <c r="E54" s="150" t="s">
        <v>237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239</v>
      </c>
      <c r="C57" s="145" t="s">
        <v>240</v>
      </c>
      <c r="D57" s="146">
        <f>sum('Balance Sheet 2021'!E25:E26)</f>
        <v>3780000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241</v>
      </c>
      <c r="D58" s="146">
        <f>'Balance Sheet 2021'!E18</f>
        <v>465514933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242</v>
      </c>
      <c r="D59" s="169">
        <f>D57/D58</f>
        <v>0.008120040265</v>
      </c>
      <c r="E59" s="150" t="s">
        <v>243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ASPEN INSTITUTE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2368529.0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7410310.0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1.31781726E8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1.6542645E7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141560565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3.2172799E7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1.022681E7</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9033255.0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3613.0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51436477</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2019361.0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52322.0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154725.0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-102403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-102403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244</v>
      </c>
      <c r="D26" s="50">
        <v>1.9294926E7</v>
      </c>
      <c r="E26" s="50">
        <v>2301763.0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1.9134293E7</v>
      </c>
      <c r="E27" s="50">
        <v>7649229.0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160633</v>
      </c>
      <c r="E28" s="75">
        <f t="shared" si="2"/>
        <v>-5347466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-5186833</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111670.0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1378087.0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-1266417</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245</v>
      </c>
      <c r="D39" s="74"/>
      <c r="E39" s="48">
        <v>710344.0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246</v>
      </c>
      <c r="D40" s="74"/>
      <c r="E40" s="48">
        <v>561074.0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102</v>
      </c>
      <c r="D41" s="74"/>
      <c r="E41" s="48">
        <v>29758.0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1301176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104</v>
      </c>
      <c r="D44" s="88"/>
      <c r="E44" s="88"/>
      <c r="F44" s="89">
        <f>sum(F16:F43)+F9</f>
        <v>189761926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ASPEN INSTITUTE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80">
        <v>1.0</v>
      </c>
      <c r="B3" s="96" t="s">
        <v>109</v>
      </c>
      <c r="C3" s="98">
        <f t="shared" ref="C3:C39" si="1">sum(D3:F3)</f>
        <v>17469399</v>
      </c>
      <c r="D3" s="99">
        <v>1.7469399E7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110</v>
      </c>
      <c r="C4" s="98">
        <f t="shared" si="1"/>
        <v>1209937</v>
      </c>
      <c r="D4" s="99">
        <v>1209937.0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111</v>
      </c>
      <c r="C5" s="98">
        <f t="shared" si="1"/>
        <v>6707562</v>
      </c>
      <c r="D5" s="99">
        <v>6707562.0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112</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113</v>
      </c>
      <c r="C7" s="98">
        <f t="shared" si="1"/>
        <v>3020190</v>
      </c>
      <c r="D7" s="99">
        <v>476125.0</v>
      </c>
      <c r="E7" s="99">
        <v>2544065.0</v>
      </c>
      <c r="F7" s="99">
        <v>0.0</v>
      </c>
      <c r="G7" s="43"/>
      <c r="H7" s="43"/>
      <c r="I7" s="43"/>
      <c r="J7" s="43"/>
      <c r="K7" s="43"/>
      <c r="L7" s="43"/>
      <c r="M7" s="43"/>
      <c r="N7" s="43"/>
      <c r="O7" s="43"/>
      <c r="P7" s="43"/>
      <c r="Q7" s="43"/>
      <c r="R7" s="43"/>
      <c r="S7" s="43"/>
      <c r="T7" s="43"/>
      <c r="U7" s="43"/>
      <c r="V7" s="43"/>
      <c r="W7" s="43"/>
      <c r="X7" s="43"/>
      <c r="Y7" s="43"/>
      <c r="Z7" s="43"/>
    </row>
    <row r="8">
      <c r="A8" s="80">
        <v>6.0</v>
      </c>
      <c r="B8" s="96" t="s">
        <v>114</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115</v>
      </c>
      <c r="C9" s="98">
        <f t="shared" si="1"/>
        <v>59579011</v>
      </c>
      <c r="D9" s="99">
        <v>4.551671E7</v>
      </c>
      <c r="E9" s="99">
        <v>1.1227936E7</v>
      </c>
      <c r="F9" s="99">
        <v>2834365.0</v>
      </c>
      <c r="G9" s="43"/>
      <c r="H9" s="43"/>
      <c r="I9" s="43"/>
      <c r="J9" s="43"/>
      <c r="K9" s="43"/>
      <c r="L9" s="43"/>
      <c r="M9" s="43"/>
      <c r="N9" s="43"/>
      <c r="O9" s="43"/>
      <c r="P9" s="43"/>
      <c r="Q9" s="43"/>
      <c r="R9" s="43"/>
      <c r="S9" s="43"/>
      <c r="T9" s="43"/>
      <c r="U9" s="43"/>
      <c r="V9" s="43"/>
      <c r="W9" s="43"/>
      <c r="X9" s="43"/>
      <c r="Y9" s="43"/>
      <c r="Z9" s="43"/>
    </row>
    <row r="10">
      <c r="A10" s="80">
        <v>8.0</v>
      </c>
      <c r="B10" s="96" t="s">
        <v>116</v>
      </c>
      <c r="C10" s="98">
        <f t="shared" si="1"/>
        <v>5487330</v>
      </c>
      <c r="D10" s="99">
        <v>0.0</v>
      </c>
      <c r="E10" s="99">
        <v>5487330.0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8">
        <f t="shared" si="1"/>
        <v>5191748</v>
      </c>
      <c r="D11" s="99">
        <v>1.3273013E7</v>
      </c>
      <c r="E11" s="99">
        <v>-8917856.0</v>
      </c>
      <c r="F11" s="99">
        <v>836591.0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8">
        <f t="shared" si="1"/>
        <v>4319768</v>
      </c>
      <c r="D12" s="99">
        <v>0.0</v>
      </c>
      <c r="E12" s="99">
        <v>4319768.0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8">
        <f t="shared" si="1"/>
        <v>15798971</v>
      </c>
      <c r="D14" s="99">
        <v>1.5798971E7</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8">
        <f t="shared" si="1"/>
        <v>950984</v>
      </c>
      <c r="D15" s="99">
        <v>604376.0</v>
      </c>
      <c r="E15" s="99">
        <v>346608.0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8">
        <f t="shared" si="1"/>
        <v>225979</v>
      </c>
      <c r="D16" s="99">
        <v>0.0</v>
      </c>
      <c r="E16" s="99">
        <v>225979.0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8">
        <f t="shared" si="1"/>
        <v>1200859</v>
      </c>
      <c r="D19" s="99">
        <v>0.0</v>
      </c>
      <c r="E19" s="99">
        <v>1200859.0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8">
        <f t="shared" si="1"/>
        <v>30312273</v>
      </c>
      <c r="D20" s="99">
        <v>2.4167557E7</v>
      </c>
      <c r="E20" s="99">
        <v>6086616.0</v>
      </c>
      <c r="F20" s="99">
        <v>58100.0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8">
        <f t="shared" si="1"/>
        <v>8863673</v>
      </c>
      <c r="D22" s="99">
        <v>2743283.0</v>
      </c>
      <c r="E22" s="99">
        <v>6091838.0</v>
      </c>
      <c r="F22" s="99">
        <v>28552.0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8">
        <f t="shared" si="1"/>
        <v>1340920</v>
      </c>
      <c r="D23" s="99">
        <v>1102634.0</v>
      </c>
      <c r="E23" s="99">
        <v>227737.0</v>
      </c>
      <c r="F23" s="99">
        <v>10549.0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8">
        <f t="shared" si="1"/>
        <v>4731253</v>
      </c>
      <c r="D25" s="99">
        <v>3528096.0</v>
      </c>
      <c r="E25" s="99">
        <v>976035.0</v>
      </c>
      <c r="F25" s="99">
        <v>227122.0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8">
        <f t="shared" si="1"/>
        <v>13827795</v>
      </c>
      <c r="D26" s="99">
        <v>1.3111482E7</v>
      </c>
      <c r="E26" s="99">
        <v>621940.0</v>
      </c>
      <c r="F26" s="99">
        <v>94373.0</v>
      </c>
      <c r="G26" s="43"/>
      <c r="H26" s="43"/>
      <c r="I26" s="43"/>
      <c r="J26" s="43"/>
      <c r="K26" s="43"/>
      <c r="L26" s="43"/>
      <c r="M26" s="43"/>
      <c r="N26" s="43"/>
      <c r="O26" s="43"/>
      <c r="P26" s="43"/>
      <c r="Q26" s="43"/>
      <c r="R26" s="43"/>
      <c r="S26" s="43"/>
      <c r="T26" s="43"/>
      <c r="U26" s="43"/>
      <c r="V26" s="43"/>
      <c r="W26" s="43"/>
      <c r="X26" s="43"/>
      <c r="Y26" s="43"/>
      <c r="Z26" s="43"/>
    </row>
    <row r="27">
      <c r="A27" s="80">
        <v>18.0</v>
      </c>
      <c r="B27" s="96" t="s">
        <v>133</v>
      </c>
      <c r="C27" s="98">
        <f t="shared" si="1"/>
        <v>457658</v>
      </c>
      <c r="D27" s="99">
        <v>457658.0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8">
        <f t="shared" si="1"/>
        <v>5334429</v>
      </c>
      <c r="D28" s="99">
        <v>5184095.0</v>
      </c>
      <c r="E28" s="99">
        <v>111711.0</v>
      </c>
      <c r="F28" s="99">
        <v>38623.0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8">
        <f t="shared" si="1"/>
        <v>142740</v>
      </c>
      <c r="D29" s="99">
        <v>142740.0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8">
        <f t="shared" si="1"/>
        <v>2336218</v>
      </c>
      <c r="D31" s="99">
        <v>0.0</v>
      </c>
      <c r="E31" s="99">
        <v>2336218.0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8">
        <f t="shared" si="1"/>
        <v>595588</v>
      </c>
      <c r="D32" s="99">
        <v>61274.0</v>
      </c>
      <c r="E32" s="99">
        <v>534314.0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120</v>
      </c>
      <c r="B34" s="60" t="s">
        <v>247</v>
      </c>
      <c r="C34" s="98">
        <f t="shared" si="1"/>
        <v>1781633</v>
      </c>
      <c r="D34" s="99">
        <v>1678749.0</v>
      </c>
      <c r="E34" s="99">
        <v>87928.0</v>
      </c>
      <c r="F34" s="99">
        <v>14956.0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1402353</v>
      </c>
      <c r="D35" s="99">
        <v>1402353.0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142</v>
      </c>
      <c r="C36" s="98">
        <f t="shared" si="1"/>
        <v>390722</v>
      </c>
      <c r="D36" s="99">
        <v>146780.0</v>
      </c>
      <c r="E36" s="99">
        <v>243942.0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143</v>
      </c>
      <c r="C37" s="98">
        <f t="shared" si="1"/>
        <v>255889</v>
      </c>
      <c r="D37" s="99">
        <v>71160.0</v>
      </c>
      <c r="E37" s="99">
        <v>0.0</v>
      </c>
      <c r="F37" s="99">
        <v>184729.0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8">
        <f t="shared" si="1"/>
        <v>423</v>
      </c>
      <c r="D38" s="99">
        <v>0.0</v>
      </c>
      <c r="E38" s="99">
        <v>423.0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4">
        <f t="shared" ref="C40:F40" si="2">sum(C3:C39)</f>
        <v>192935305</v>
      </c>
      <c r="D40" s="104">
        <f t="shared" si="2"/>
        <v>154853954</v>
      </c>
      <c r="E40" s="104">
        <f t="shared" si="2"/>
        <v>33753391</v>
      </c>
      <c r="F40" s="104">
        <f t="shared" si="2"/>
        <v>4327960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ASPEN INSTITUTE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146</v>
      </c>
      <c r="B2" s="45">
        <v>1.0</v>
      </c>
      <c r="C2" s="46" t="s">
        <v>147</v>
      </c>
      <c r="D2" s="111"/>
      <c r="E2" s="112">
        <v>1.0189779E7</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3"/>
      <c r="E3" s="112">
        <v>2.3540105E7</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1"/>
      <c r="E4" s="112">
        <v>3.9355994E7</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3"/>
      <c r="E5" s="112">
        <v>8632723.0</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3"/>
      <c r="E9" s="112">
        <v>278414.0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1"/>
      <c r="E10" s="112">
        <v>2543500.0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2">
        <v>1.19491753E8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2">
        <v>4.50234E7</v>
      </c>
      <c r="E12" s="109">
        <f>D11-D12</f>
        <v>74468353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3"/>
      <c r="E13" s="112">
        <v>7.8563638E7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3"/>
      <c r="E14" s="112">
        <v>1.69017803E8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3"/>
      <c r="E17" s="112">
        <v>6.9292562E7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4"/>
      <c r="E18" s="115">
        <f>sum(E2:E17)</f>
        <v>475882871</v>
      </c>
      <c r="F18" s="43"/>
      <c r="G18" s="43"/>
      <c r="H18" s="43"/>
      <c r="I18" s="43"/>
      <c r="J18" s="43"/>
      <c r="K18" s="43"/>
      <c r="L18" s="43"/>
      <c r="M18" s="43"/>
      <c r="N18" s="43"/>
      <c r="O18" s="43"/>
      <c r="P18" s="43"/>
      <c r="Q18" s="43"/>
      <c r="R18" s="43"/>
      <c r="S18" s="43"/>
      <c r="T18" s="43"/>
      <c r="U18" s="43"/>
      <c r="V18" s="43"/>
      <c r="W18" s="43"/>
      <c r="X18" s="43"/>
      <c r="Y18" s="43"/>
      <c r="Z18" s="43"/>
    </row>
    <row r="19">
      <c r="A19" s="44" t="s">
        <v>166</v>
      </c>
      <c r="B19" s="116">
        <v>17.0</v>
      </c>
      <c r="C19" s="117" t="s">
        <v>167</v>
      </c>
      <c r="D19" s="118"/>
      <c r="E19" s="112">
        <v>1.5343072E7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168</v>
      </c>
      <c r="D20" s="118"/>
      <c r="E20" s="112">
        <v>2140947.0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169</v>
      </c>
      <c r="D21" s="118"/>
      <c r="E21" s="112">
        <v>1.5882204E7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173</v>
      </c>
      <c r="D25" s="122"/>
      <c r="E25" s="119">
        <v>3780000.0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175</v>
      </c>
      <c r="D27" s="118"/>
      <c r="E27" s="119">
        <v>6.6610309E7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176</v>
      </c>
      <c r="D28" s="126"/>
      <c r="E28" s="127">
        <f>sum(E19:E27)</f>
        <v>103756532</v>
      </c>
      <c r="F28" s="43"/>
      <c r="G28" s="43"/>
      <c r="H28" s="43"/>
      <c r="I28" s="43"/>
      <c r="J28" s="43"/>
      <c r="K28" s="43"/>
      <c r="L28" s="43"/>
      <c r="M28" s="43"/>
      <c r="N28" s="43"/>
      <c r="O28" s="43"/>
      <c r="P28" s="43"/>
      <c r="Q28" s="43"/>
      <c r="R28" s="43"/>
      <c r="S28" s="43"/>
      <c r="T28" s="43"/>
      <c r="U28" s="43"/>
      <c r="V28" s="43"/>
      <c r="W28" s="43"/>
      <c r="X28" s="43"/>
      <c r="Y28" s="43"/>
      <c r="Z28" s="43"/>
    </row>
    <row r="29">
      <c r="A29" s="65" t="s">
        <v>177</v>
      </c>
      <c r="B29" s="128"/>
      <c r="C29" s="129" t="s">
        <v>178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179</v>
      </c>
      <c r="D30" s="118"/>
      <c r="E30" s="112">
        <v>1.24326717E8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180</v>
      </c>
      <c r="D31" s="118"/>
      <c r="E31" s="112">
        <v>2.47799622E8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185</v>
      </c>
      <c r="D36" s="132"/>
      <c r="E36" s="127">
        <f>sum(E30:E35)</f>
        <v>372126339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186</v>
      </c>
      <c r="D37" s="136"/>
      <c r="E37" s="137">
        <f>E36+E28</f>
        <v>475882871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