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<sst xmlns="http://schemas.openxmlformats.org/spreadsheetml/2006/main" count="882" uniqueCount="261">
  <si>
    <t>GREATER MINNESOTA HOUSING FUND</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</si>
  <si>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</si>
  <si>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</si>
  <si>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</si>
  <si>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</si>
  <si>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</si>
  <si>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</si>
  <si>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</si>
  <si>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</si>
  <si>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</si>
  <si>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</si>
  <si>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</si>
  <si>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</si>
  <si>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</si>
  <si>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</si>
  <si>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</si>
  <si>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</si>
  <si>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</si>
  <si>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</si>
  <si>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</si>
  <si>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</si>
  <si>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</si>
  <si>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</si>
  <si>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</si>
  <si>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</si>
  <si>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</si>
  <si>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</si>
  <si>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</si>
  <si>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</si>
  <si>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</si>
  <si>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</si>
  <si>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</si>
  <si>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</si>
  <si>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</si>
  <si>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</si>
  <si>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</si>
  <si>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</si>
  <si>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</si>
  <si>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</si>
  <si>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</si>
  <si>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</si>
  <si>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</si>
  <si>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</si>
  <si>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</si>
  <si>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</si>
  <si>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</si>
  <si>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</si>
  <si>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</si>
  <si>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</si>
  <si>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</si>
  <si>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</si>
  <si>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</si>
  <si>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</si>
  <si>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</si>
  <si>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</si>
  <si>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</si>
  <si>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</si>
  <si>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</si>
  <si>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</si>
  <si>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</si>
  <si>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</si>
  <si>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</si>
  <si>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</si>
  <si>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</si>
  <si>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 xml:space="preserve"> INTERIM LOAN INTEREST</t>
  </si>
  <si>
    <t>ADMIN FEES</t>
  </si>
  <si>
    <t xml:space="preserve"> LOAN ORIGINATION FEES</t>
  </si>
  <si>
    <t>GAP DEFERRAL INTEREST</t>
  </si>
  <si>
    <t>All other program service revenue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</si>
  <si>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</si>
  <si>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</si>
  <si>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</si>
  <si>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</si>
  <si>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</si>
  <si>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</si>
  <si>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</si>
  <si>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</si>
  <si>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</si>
  <si>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</si>
  <si>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</si>
  <si>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</si>
  <si>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</si>
  <si>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</si>
  <si>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</si>
  <si>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</si>
  <si>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</si>
  <si>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</si>
  <si>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</si>
  <si>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</si>
  <si>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</si>
  <si>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</si>
  <si>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</si>
  <si>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</si>
  <si>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</si>
  <si>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</si>
  <si>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</si>
  <si>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</si>
  <si>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</si>
  <si>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</si>
  <si>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</si>
  <si>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</si>
  <si>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</si>
  <si>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</si>
  <si>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</si>
  <si>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</si>
  <si>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</si>
  <si>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</si>
  <si>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</si>
  <si>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</si>
  <si>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</si>
  <si>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</si>
  <si>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</si>
  <si>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</si>
  <si>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</si>
  <si>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</si>
  <si>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</si>
  <si>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</si>
  <si>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</si>
  <si>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</si>
  <si>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</si>
  <si>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</si>
  <si>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</si>
  <si>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</si>
  <si>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</si>
  <si>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</si>
  <si>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</si>
  <si>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</si>
  <si>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</si>
  <si>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</si>
  <si>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</si>
  <si>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</si>
  <si>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</si>
  <si>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</si>
  <si>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</si>
  <si>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</si>
  <si>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</si>
  <si>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</si>
  <si>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</si>
  <si>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</si>
  <si>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LOAN LOSS RESERVE</t>
  </si>
  <si>
    <t>MISCELLANEOUS EXPENSES</t>
  </si>
  <si>
    <t>PUBLIC INFORMATION</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</si>
  <si>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</si>
  <si>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</si>
  <si>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</si>
  <si>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</si>
  <si>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</si>
  <si>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</si>
  <si>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</si>
  <si>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</si>
  <si>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</si>
  <si>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</si>
  <si>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</si>
  <si>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</si>
  <si>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</si>
  <si>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</si>
  <si>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</si>
  <si>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</si>
  <si>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</si>
  <si>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</si>
  <si>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</si>
  <si>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</si>
  <si>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</si>
  <si>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</si>
  <si>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</si>
  <si>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</si>
  <si>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</si>
  <si>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</si>
  <si>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</si>
  <si>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</si>
  <si>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</si>
  <si>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</si>
  <si>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</si>
  <si>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</si>
  <si>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</si>
  <si>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</si>
  <si>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</si>
  <si>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</si>
  <si>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</si>
  <si>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</si>
  <si>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</si>
  <si>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</si>
  <si>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</si>
  <si>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</si>
  <si>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</si>
  <si>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</si>
  <si>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</si>
  <si>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</si>
  <si>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</si>
  <si>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</si>
  <si>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</si>
  <si>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</si>
  <si>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</si>
  <si>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</si>
  <si>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</si>
  <si>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</si>
  <si>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</si>
  <si>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</si>
  <si>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</si>
  <si>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</si>
  <si>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</si>
  <si>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</si>
  <si>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</si>
  <si>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</si>
  <si>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</si>
  <si>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</si>
  <si>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</si>
  <si>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</si>
  <si>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</si>
  <si>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</si>
  <si>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</si>
  <si>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</si>
  <si>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</si>
  <si>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</si>
  <si>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</si>
  <si>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</si>
  <si>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</si>
  <si>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</si>
  <si>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</si>
  <si>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</si>
  <si>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</si>
  <si>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</si>
  <si>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</si>
  <si>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</si>
  <si>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</si>
  <si>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</si>
  <si>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</si>
  <si>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</si>
  <si>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</si>
  <si>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</si>
  <si>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</si>
  <si>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</si>
  <si>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</si>
  <si>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</si>
  <si>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</si>
  <si>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</si>
  <si>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</si>
  <si>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</si>
  <si>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</si>
  <si>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</si>
  <si>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</si>
  <si>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</si>
  <si>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INTEREST INN. ON LOANS</t>
  </si>
  <si>
    <t>LOAN ORIGINATION FEES</t>
  </si>
  <si>
    <t xml:space="preserve"> ACQUISITION FEES</t>
  </si>
  <si>
    <t>SPE GAIN</t>
  </si>
  <si>
    <r>
      <rPr>
        <rFont val="Roboto"/>
        <color rgb="FF000000"/>
        <sz val="10.0"/>
      </rPr>
      <t xml:space="preserve">Gross amount from sales of </t>
    </r>
    <r>
      <rPr>
        <rFont val="Roboto"/>
        <color rgb="FF000000"/>
        <sz val="10.0"/>
      </rPr>
      <t>assets other than inventory</t>
    </r>
  </si>
  <si>
    <t xml:space="preserve"> LOAN LOSS RESERVE</t>
  </si>
  <si>
    <r>
      <rPr>
        <rFont val="Roboto"/>
        <b/>
        <color rgb="FF000000"/>
        <sz val="10.0"/>
      </rPr>
      <t xml:space="preserve">Program Expenses </t>
    </r>
    <r>
      <rPr>
        <rFont val="Roboto"/>
        <b/>
        <i/>
        <color rgb="FF000000"/>
        <sz val="10.0"/>
      </rPr>
      <t xml:space="preserve">(Program Efficiency Ratio) </t>
    </r>
  </si>
  <si>
    <t>INTEREST INCOME ON LOA</t>
  </si>
  <si>
    <t>PROGRAM FEES</t>
  </si>
  <si>
    <r>
      <rPr>
        <rFont val="Roboto"/>
        <color rgb="FF000000"/>
        <sz val="10.0"/>
      </rPr>
      <t xml:space="preserve">Gross amount from sales of </t>
    </r>
    <r>
      <rPr>
        <rFont val="Roboto"/>
        <color rgb="FF000000"/>
        <sz val="10.0"/>
      </rPr>
      <t>assets other than inventory</t>
    </r>
  </si>
  <si>
    <t>REPAIRS AND MAINTENANCE</t>
  </si>
  <si>
    <t>BOARD EXPENSE</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</si>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</sst>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GREATER MINNESOTA HOUSING FUND</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185</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186</v>
      </c>
      <c r="C3" s="145" t="s">
        <v>187</v>
      </c>
      <c r="D3" s="146">
        <f>'Expenses 2022'!C40</f>
        <v>12440295</v>
      </c>
      <c r="E3" s="147"/>
      <c r="F3" s="43"/>
      <c r="G3" s="43"/>
      <c r="H3" s="43"/>
      <c r="I3" s="43"/>
      <c r="J3" s="43"/>
      <c r="K3" s="43"/>
      <c r="L3" s="43"/>
      <c r="M3" s="43"/>
      <c r="N3" s="43"/>
      <c r="O3" s="43"/>
      <c r="P3" s="43"/>
      <c r="Q3" s="43"/>
      <c r="R3" s="43"/>
      <c r="S3" s="43"/>
      <c r="T3" s="43"/>
      <c r="U3" s="43"/>
      <c r="V3" s="43"/>
      <c r="W3" s="43"/>
      <c r="X3" s="43"/>
      <c r="Y3" s="43"/>
    </row>
    <row r="4">
      <c r="A4" s="139"/>
      <c r="B4" s="49"/>
      <c r="C4" s="145" t="s">
        <v>188</v>
      </c>
      <c r="D4" s="146">
        <f>'Expenses 2022'!C31</f>
        <v>18434</v>
      </c>
      <c r="E4" s="147"/>
      <c r="F4" s="43"/>
      <c r="G4" s="43"/>
      <c r="H4" s="43"/>
      <c r="I4" s="43"/>
      <c r="J4" s="43"/>
      <c r="K4" s="43"/>
      <c r="L4" s="43"/>
      <c r="M4" s="43"/>
      <c r="N4" s="43"/>
      <c r="O4" s="43"/>
      <c r="P4" s="43"/>
      <c r="Q4" s="43"/>
      <c r="R4" s="43"/>
      <c r="S4" s="43"/>
      <c r="T4" s="43"/>
      <c r="U4" s="43"/>
      <c r="V4" s="43"/>
      <c r="W4" s="43"/>
      <c r="X4" s="43"/>
      <c r="Y4" s="43"/>
    </row>
    <row r="5">
      <c r="A5" s="139"/>
      <c r="B5" s="49"/>
      <c r="C5" s="145" t="s">
        <v>189</v>
      </c>
      <c r="D5" s="146">
        <f>D3-D4</f>
        <v>12421861</v>
      </c>
      <c r="E5" s="147"/>
      <c r="F5" s="43"/>
      <c r="G5" s="43"/>
      <c r="H5" s="43"/>
      <c r="I5" s="43"/>
      <c r="J5" s="43"/>
      <c r="K5" s="43"/>
      <c r="L5" s="43"/>
      <c r="M5" s="43"/>
      <c r="N5" s="43"/>
      <c r="O5" s="43"/>
      <c r="P5" s="43"/>
      <c r="Q5" s="43"/>
      <c r="R5" s="43"/>
      <c r="S5" s="43"/>
      <c r="T5" s="43"/>
      <c r="U5" s="43"/>
      <c r="V5" s="43"/>
      <c r="W5" s="43"/>
      <c r="X5" s="43"/>
      <c r="Y5" s="43"/>
    </row>
    <row r="6">
      <c r="A6" s="139"/>
      <c r="B6" s="49"/>
      <c r="C6" s="145" t="s">
        <v>190</v>
      </c>
      <c r="D6" s="146">
        <f>D5/12</f>
        <v>1035155.083</v>
      </c>
      <c r="E6" s="147"/>
      <c r="F6" s="43"/>
      <c r="G6" s="43"/>
      <c r="H6" s="43"/>
      <c r="I6" s="43"/>
      <c r="J6" s="43"/>
      <c r="K6" s="43"/>
      <c r="L6" s="43"/>
      <c r="M6" s="43"/>
      <c r="N6" s="43"/>
      <c r="O6" s="43"/>
      <c r="P6" s="43"/>
      <c r="Q6" s="43"/>
      <c r="R6" s="43"/>
      <c r="S6" s="43"/>
      <c r="T6" s="43"/>
      <c r="U6" s="43"/>
      <c r="V6" s="43"/>
      <c r="W6" s="43"/>
      <c r="X6" s="43"/>
      <c r="Y6" s="43"/>
    </row>
    <row r="7">
      <c r="A7" s="139"/>
      <c r="B7" s="49"/>
      <c r="C7" s="145" t="s">
        <v>191</v>
      </c>
      <c r="D7" s="75">
        <f>'Balance Sheet 2022'!E2+'Balance Sheet 2022'!E3</f>
        <v>12835669</v>
      </c>
      <c r="E7" s="147"/>
      <c r="F7" s="43"/>
      <c r="G7" s="43"/>
      <c r="H7" s="43"/>
      <c r="I7" s="43"/>
      <c r="J7" s="43"/>
      <c r="K7" s="43"/>
      <c r="L7" s="43"/>
      <c r="M7" s="43"/>
      <c r="N7" s="43"/>
      <c r="O7" s="43"/>
      <c r="P7" s="43"/>
      <c r="Q7" s="43"/>
      <c r="R7" s="43"/>
      <c r="S7" s="43"/>
      <c r="T7" s="43"/>
      <c r="U7" s="43"/>
      <c r="V7" s="43"/>
      <c r="W7" s="43"/>
      <c r="X7" s="43"/>
      <c r="Y7" s="43"/>
    </row>
    <row r="8">
      <c r="A8" s="139"/>
      <c r="B8" s="49"/>
      <c r="C8" s="148" t="s">
        <v>185</v>
      </c>
      <c r="D8" s="149">
        <f>D7/D6</f>
        <v>12.39975459</v>
      </c>
      <c r="E8" s="150" t="s">
        <v>192</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193</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194</v>
      </c>
      <c r="C11" s="145" t="s">
        <v>195</v>
      </c>
      <c r="D11" s="75">
        <f>'Balance Sheet 2022'!E30</f>
        <v>109825857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196</v>
      </c>
      <c r="D12" s="75">
        <f>'Expenses 2022'!C40</f>
        <v>12440295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197</v>
      </c>
      <c r="D13" s="146">
        <f>D12/12</f>
        <v>1036691.25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193</v>
      </c>
      <c r="D14" s="149">
        <f>D11/D13</f>
        <v>105.9388289</v>
      </c>
      <c r="E14" s="150" t="s">
        <v>192</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198</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199</v>
      </c>
      <c r="C17" s="145" t="s">
        <v>200</v>
      </c>
      <c r="D17" s="75">
        <f>sum('Balance Sheet 2022'!E13:E15)</f>
        <v>200888978</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196</v>
      </c>
      <c r="D18" s="75">
        <f>'Expenses 2022'!C40</f>
        <v>12440295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197</v>
      </c>
      <c r="D19" s="146">
        <f>D18/12</f>
        <v>1036691.25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201</v>
      </c>
      <c r="D20" s="149">
        <f>D17/D19</f>
        <v>193.7789848</v>
      </c>
      <c r="E20" s="150" t="s">
        <v>192</v>
      </c>
      <c r="F20" s="43"/>
      <c r="G20" s="43"/>
      <c r="H20" s="43"/>
      <c r="I20" s="43"/>
      <c r="J20" s="43"/>
      <c r="K20" s="43"/>
      <c r="L20" s="43"/>
      <c r="M20" s="43"/>
      <c r="N20" s="43"/>
      <c r="O20" s="43"/>
      <c r="P20" s="43"/>
      <c r="Q20" s="43"/>
      <c r="R20" s="43"/>
      <c r="S20" s="43"/>
      <c r="T20" s="43"/>
      <c r="U20" s="43"/>
      <c r="V20" s="43"/>
      <c r="W20" s="43"/>
      <c r="X20" s="43"/>
      <c r="Y20" s="43"/>
    </row>
    <row r="21">
      <c r="A21" s="139"/>
      <c r="B21" s="49"/>
      <c r="C21" s="154" t="s">
        <v>202</v>
      </c>
      <c r="D21" s="155">
        <f>D20+D8</f>
        <v>206.1787394</v>
      </c>
      <c r="E21" s="156" t="s">
        <v>192</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203</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204</v>
      </c>
      <c r="C24" s="160"/>
      <c r="D24" s="161">
        <f>max('Revenues 2022'!E2:E7,'Revenues 2022'!F10:F15)</f>
        <v>12000000</v>
      </c>
      <c r="E24" s="162" t="s">
        <v>205</v>
      </c>
      <c r="F24" s="43"/>
      <c r="G24" s="43"/>
      <c r="H24" s="43"/>
      <c r="I24" s="43"/>
      <c r="J24" s="43"/>
      <c r="K24" s="43"/>
      <c r="L24" s="43"/>
      <c r="M24" s="43"/>
      <c r="N24" s="43"/>
      <c r="O24" s="43"/>
      <c r="P24" s="43"/>
      <c r="Q24" s="43"/>
      <c r="R24" s="43"/>
      <c r="S24" s="43"/>
      <c r="T24" s="43"/>
      <c r="U24" s="43"/>
      <c r="V24" s="43"/>
      <c r="W24" s="43"/>
      <c r="X24" s="43"/>
      <c r="Y24" s="43"/>
    </row>
    <row r="25">
      <c r="A25" s="139"/>
      <c r="B25" s="49"/>
      <c r="C25" s="145" t="s">
        <v>206</v>
      </c>
      <c r="D25" s="146">
        <f>'Revenues 2022'!F44</f>
        <v>25043112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203</v>
      </c>
      <c r="D26" s="163">
        <f>D24/D25</f>
        <v>0.4791736746</v>
      </c>
      <c r="E26" s="150" t="s">
        <v>207</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208</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209</v>
      </c>
      <c r="C29" s="145" t="s">
        <v>210</v>
      </c>
      <c r="D29" s="75">
        <f>SUM('Expenses 2022'!C7:C9)</f>
        <v>3265954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211</v>
      </c>
      <c r="D30" s="75">
        <f>SUM('Expenses 2022'!C10:C12)</f>
        <v>856894</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212</v>
      </c>
      <c r="D31" s="75">
        <f>sum(D29:D30)</f>
        <v>4122848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187</v>
      </c>
      <c r="D32" s="75">
        <f>'Expenses 2022'!C40</f>
        <v>12440295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213</v>
      </c>
      <c r="D33" s="163">
        <f>D31/D32</f>
        <v>0.3314107905</v>
      </c>
      <c r="E33" s="150" t="s">
        <v>214</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215</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216</v>
      </c>
      <c r="C36" s="145" t="s">
        <v>217</v>
      </c>
      <c r="D36" s="75">
        <f>SUM('Expenses 2022'!C10:C11)</f>
        <v>638385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210</v>
      </c>
      <c r="D37" s="75">
        <f>SUM('Expenses 2022'!C7:C9)</f>
        <v>3265954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215</v>
      </c>
      <c r="D38" s="163">
        <f>D36/D37</f>
        <v>0.1954666232</v>
      </c>
      <c r="E38" s="150" t="s">
        <v>218</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219</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220</v>
      </c>
      <c r="C41" s="148" t="s">
        <v>248</v>
      </c>
      <c r="D41" s="75">
        <f>'Expenses 2022'!D40</f>
        <v>10318128</v>
      </c>
      <c r="E41" s="165">
        <f t="shared" ref="E41:E44" si="1">D41/$D$44</f>
        <v>0.8294118427</v>
      </c>
      <c r="F41" s="43"/>
      <c r="G41" s="43"/>
      <c r="H41" s="43"/>
      <c r="I41" s="43"/>
      <c r="J41" s="43"/>
      <c r="K41" s="43"/>
      <c r="L41" s="43"/>
      <c r="M41" s="43"/>
      <c r="N41" s="43"/>
      <c r="O41" s="43"/>
      <c r="P41" s="43"/>
      <c r="Q41" s="43"/>
      <c r="R41" s="43"/>
      <c r="S41" s="43"/>
      <c r="T41" s="43"/>
      <c r="U41" s="43"/>
      <c r="V41" s="43"/>
      <c r="W41" s="43"/>
      <c r="X41" s="43"/>
      <c r="Y41" s="43"/>
    </row>
    <row r="42">
      <c r="A42" s="139"/>
      <c r="B42" s="49"/>
      <c r="C42" s="148" t="s">
        <v>222</v>
      </c>
      <c r="D42" s="146">
        <f>'Expenses 2022'!E40</f>
        <v>2122167</v>
      </c>
      <c r="E42" s="165">
        <f t="shared" si="1"/>
        <v>0.1705881573</v>
      </c>
      <c r="F42" s="43"/>
      <c r="G42" s="43"/>
      <c r="H42" s="43"/>
      <c r="I42" s="43"/>
      <c r="J42" s="43"/>
      <c r="K42" s="43"/>
      <c r="L42" s="43"/>
      <c r="M42" s="43"/>
      <c r="N42" s="43"/>
      <c r="O42" s="43"/>
      <c r="P42" s="43"/>
      <c r="Q42" s="43"/>
      <c r="R42" s="43"/>
      <c r="S42" s="43"/>
      <c r="T42" s="43"/>
      <c r="U42" s="43"/>
      <c r="V42" s="43"/>
      <c r="W42" s="43"/>
      <c r="X42" s="43"/>
      <c r="Y42" s="43"/>
    </row>
    <row r="43">
      <c r="A43" s="139"/>
      <c r="B43" s="49"/>
      <c r="C43" s="148" t="s">
        <v>223</v>
      </c>
      <c r="D43" s="146">
        <f>'Expenses 2022'!F40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187</v>
      </c>
      <c r="D44" s="146">
        <f>sum(D41:D43)</f>
        <v>12440295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224</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225</v>
      </c>
      <c r="C47" s="145" t="s">
        <v>226</v>
      </c>
      <c r="D47" s="146">
        <f>'Revenues 2022'!F9</f>
        <v>14314340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227</v>
      </c>
      <c r="D48" s="146">
        <f>'Expenses 2022'!F40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228</v>
      </c>
      <c r="D49" s="166" t="str">
        <f>if(D48=0, "$0",D47/D48)</f>
        <v>$0</v>
      </c>
      <c r="E49" s="150" t="s">
        <v>229</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230</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231</v>
      </c>
      <c r="C52" s="145" t="s">
        <v>232</v>
      </c>
      <c r="D52" s="146">
        <f>sum('Balance Sheet 2022'!E2:E10)</f>
        <v>13220113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233</v>
      </c>
      <c r="D53" s="146">
        <f>sum('Balance Sheet 2022'!E19:E22)</f>
        <v>2012673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234</v>
      </c>
      <c r="D54" s="168">
        <f>D52/D53</f>
        <v>6.568435608</v>
      </c>
      <c r="E54" s="150" t="s">
        <v>235</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236</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237</v>
      </c>
      <c r="C57" s="145" t="s">
        <v>238</v>
      </c>
      <c r="D57" s="146">
        <f>sum('Balance Sheet 2022'!E25:E26)</f>
        <v>90634599</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239</v>
      </c>
      <c r="D58" s="146">
        <f>'Balance Sheet 2022'!E18</f>
        <v>217893047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240</v>
      </c>
      <c r="D59" s="169">
        <f>D57/D58</f>
        <v>0.415959115</v>
      </c>
      <c r="E59" s="150" t="s">
        <v>241</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GREATER MINNESOTA HOUSING FUND</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7640000.0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5674955.0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13314955</v>
      </c>
      <c r="G9" s="58"/>
      <c r="H9" s="58"/>
      <c r="I9" s="58"/>
      <c r="J9" s="58"/>
      <c r="K9" s="58"/>
      <c r="L9" s="58"/>
      <c r="M9" s="58"/>
      <c r="N9" s="58"/>
      <c r="O9" s="58"/>
      <c r="P9" s="58"/>
      <c r="Q9" s="58"/>
      <c r="R9" s="58"/>
      <c r="S9" s="58"/>
      <c r="T9" s="58"/>
      <c r="U9" s="58"/>
      <c r="V9" s="58"/>
      <c r="W9" s="58"/>
      <c r="X9" s="58"/>
      <c r="Y9" s="58"/>
      <c r="Z9" s="58"/>
    </row>
    <row r="10">
      <c r="A10" s="44" t="s">
        <v>62</v>
      </c>
      <c r="B10" s="59" t="s">
        <v>63</v>
      </c>
      <c r="C10" s="60" t="s">
        <v>249</v>
      </c>
      <c r="D10" s="15"/>
      <c r="E10" s="15"/>
      <c r="F10" s="48">
        <v>6213787.0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243</v>
      </c>
      <c r="D11" s="61"/>
      <c r="E11" s="61"/>
      <c r="F11" s="62">
        <v>1060830.0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139</v>
      </c>
      <c r="D12" s="61"/>
      <c r="E12" s="61"/>
      <c r="F12" s="62">
        <v>853520.0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244</v>
      </c>
      <c r="D13" s="61"/>
      <c r="E13" s="61"/>
      <c r="F13" s="62">
        <v>416567.0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250</v>
      </c>
      <c r="D14" s="61"/>
      <c r="E14" s="61"/>
      <c r="F14" s="62">
        <v>385337.0</v>
      </c>
      <c r="G14" s="43"/>
      <c r="H14" s="43"/>
      <c r="I14" s="43"/>
      <c r="J14" s="43"/>
      <c r="K14" s="43"/>
      <c r="L14" s="43"/>
      <c r="M14" s="43"/>
      <c r="N14" s="43"/>
      <c r="O14" s="43"/>
      <c r="P14" s="43"/>
      <c r="Q14" s="43"/>
      <c r="R14" s="43"/>
      <c r="S14" s="43"/>
      <c r="T14" s="43"/>
      <c r="U14" s="43"/>
      <c r="V14" s="43"/>
      <c r="W14" s="43"/>
      <c r="X14" s="43"/>
      <c r="Y14" s="43"/>
      <c r="Z14" s="43"/>
    </row>
    <row r="15">
      <c r="A15" s="52"/>
      <c r="B15" s="45" t="s">
        <v>56</v>
      </c>
      <c r="C15" s="60" t="s">
        <v>68</v>
      </c>
      <c r="D15" s="61"/>
      <c r="E15" s="61"/>
      <c r="F15" s="62">
        <v>-3007164.0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5922877</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2267223.0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251</v>
      </c>
      <c r="D26" s="50">
        <v>7.3095649E7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7.3457789E7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-362140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-362140</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100</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21142915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GREATER MINNESOTA HOUSING FUND</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1286407</v>
      </c>
      <c r="D3" s="99">
        <v>1286407.0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33600</v>
      </c>
      <c r="D4" s="99">
        <v>33600.0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616114</v>
      </c>
      <c r="D7" s="99">
        <v>353425.0</v>
      </c>
      <c r="E7" s="99">
        <v>262689.0</v>
      </c>
      <c r="F7" s="99">
        <v>0.0</v>
      </c>
      <c r="G7" s="43"/>
      <c r="H7" s="43"/>
      <c r="I7" s="43"/>
      <c r="J7" s="43"/>
      <c r="K7" s="43"/>
      <c r="L7" s="43"/>
      <c r="M7" s="43"/>
      <c r="N7" s="43"/>
      <c r="O7" s="43"/>
      <c r="P7" s="43"/>
      <c r="Q7" s="43"/>
      <c r="R7" s="43"/>
      <c r="S7" s="43"/>
      <c r="T7" s="43"/>
      <c r="U7" s="43"/>
      <c r="V7" s="43"/>
      <c r="W7" s="43"/>
      <c r="X7" s="43"/>
      <c r="Y7" s="43"/>
      <c r="Z7" s="43"/>
    </row>
    <row r="8">
      <c r="A8" s="80">
        <v>6.0</v>
      </c>
      <c r="B8" s="96" t="s">
        <v>113</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114</v>
      </c>
      <c r="C9" s="98">
        <f t="shared" si="1"/>
        <v>2936889</v>
      </c>
      <c r="D9" s="99">
        <v>2211653.0</v>
      </c>
      <c r="E9" s="99">
        <v>725236.0</v>
      </c>
      <c r="F9" s="99">
        <v>0.0</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273012</v>
      </c>
      <c r="D10" s="99">
        <v>216568.0</v>
      </c>
      <c r="E10" s="99">
        <v>56444.0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671906</v>
      </c>
      <c r="D11" s="99">
        <v>484009.0</v>
      </c>
      <c r="E11" s="99">
        <v>187897.0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272611</v>
      </c>
      <c r="D12" s="99">
        <v>197926.0</v>
      </c>
      <c r="E12" s="99">
        <v>74685.0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169727</v>
      </c>
      <c r="D15" s="99">
        <v>0.0</v>
      </c>
      <c r="E15" s="99">
        <v>169727.0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111130</v>
      </c>
      <c r="D16" s="99">
        <v>0.0</v>
      </c>
      <c r="E16" s="99">
        <v>111130.0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106692</v>
      </c>
      <c r="D19" s="99">
        <v>0.0</v>
      </c>
      <c r="E19" s="99">
        <v>106692.0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1595673</v>
      </c>
      <c r="D20" s="99">
        <v>1200652.0</v>
      </c>
      <c r="E20" s="99">
        <v>395021.0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196889</v>
      </c>
      <c r="D25" s="99">
        <v>142949.0</v>
      </c>
      <c r="E25" s="99">
        <v>53940.0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63470</v>
      </c>
      <c r="D26" s="99">
        <v>46082.0</v>
      </c>
      <c r="E26" s="99">
        <v>17388.0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41795</v>
      </c>
      <c r="D28" s="99">
        <v>30345.0</v>
      </c>
      <c r="E28" s="99">
        <v>11450.0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1731492</v>
      </c>
      <c r="D29" s="99">
        <v>1731492.0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24639</v>
      </c>
      <c r="D31" s="99">
        <v>17889.0</v>
      </c>
      <c r="E31" s="99">
        <v>6750.0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187684</v>
      </c>
      <c r="D32" s="99">
        <v>147655.0</v>
      </c>
      <c r="E32" s="99">
        <v>40029.0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60" t="s">
        <v>252</v>
      </c>
      <c r="C34" s="98">
        <f t="shared" si="1"/>
        <v>226074</v>
      </c>
      <c r="D34" s="99">
        <v>164138.0</v>
      </c>
      <c r="E34" s="99">
        <v>61936.0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141</v>
      </c>
      <c r="C35" s="98">
        <f t="shared" si="1"/>
        <v>92198</v>
      </c>
      <c r="D35" s="99">
        <v>92198.0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253</v>
      </c>
      <c r="C36" s="98">
        <f t="shared" si="1"/>
        <v>21864</v>
      </c>
      <c r="D36" s="99">
        <v>0.0</v>
      </c>
      <c r="E36" s="99">
        <v>21864.0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140</v>
      </c>
      <c r="C37" s="98">
        <f t="shared" si="1"/>
        <v>20087</v>
      </c>
      <c r="D37" s="99">
        <v>15172.0</v>
      </c>
      <c r="E37" s="99">
        <v>4915.0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4">
        <f t="shared" ref="C40:F40" si="2">sum(C3:C39)</f>
        <v>10679953</v>
      </c>
      <c r="D40" s="104">
        <f t="shared" si="2"/>
        <v>8372160</v>
      </c>
      <c r="E40" s="104">
        <f t="shared" si="2"/>
        <v>2307793</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GREATER MINNESOTA HOUSING FUND</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144</v>
      </c>
      <c r="B2" s="45">
        <v>1.0</v>
      </c>
      <c r="C2" s="46" t="s">
        <v>145</v>
      </c>
      <c r="D2" s="111"/>
      <c r="E2" s="112">
        <v>9130600.0</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3"/>
      <c r="E3" s="112">
        <v>5391319.0</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1"/>
      <c r="E4" s="112">
        <v>4277803.0</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1"/>
      <c r="E10" s="112">
        <v>272157.0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2">
        <v>526232.0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2">
        <v>445214.0</v>
      </c>
      <c r="E12" s="109">
        <f>D11-D12</f>
        <v>81018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3"/>
      <c r="E13" s="112">
        <v>3.5863843E7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3"/>
      <c r="E14" s="112">
        <v>739901.0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3"/>
      <c r="E15" s="112">
        <v>1.80334154E8</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3"/>
      <c r="E17" s="112">
        <v>444929.0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4"/>
      <c r="E18" s="115">
        <f>sum(E2:E17)</f>
        <v>236535724</v>
      </c>
      <c r="F18" s="43"/>
      <c r="G18" s="43"/>
      <c r="H18" s="43"/>
      <c r="I18" s="43"/>
      <c r="J18" s="43"/>
      <c r="K18" s="43"/>
      <c r="L18" s="43"/>
      <c r="M18" s="43"/>
      <c r="N18" s="43"/>
      <c r="O18" s="43"/>
      <c r="P18" s="43"/>
      <c r="Q18" s="43"/>
      <c r="R18" s="43"/>
      <c r="S18" s="43"/>
      <c r="T18" s="43"/>
      <c r="U18" s="43"/>
      <c r="V18" s="43"/>
      <c r="W18" s="43"/>
      <c r="X18" s="43"/>
      <c r="Y18" s="43"/>
      <c r="Z18" s="43"/>
    </row>
    <row r="19">
      <c r="A19" s="44" t="s">
        <v>164</v>
      </c>
      <c r="B19" s="116">
        <v>17.0</v>
      </c>
      <c r="C19" s="117" t="s">
        <v>165</v>
      </c>
      <c r="D19" s="118"/>
      <c r="E19" s="112">
        <v>2112229.0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166</v>
      </c>
      <c r="D20" s="118"/>
      <c r="E20" s="112">
        <v>225373.0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167</v>
      </c>
      <c r="D21" s="118"/>
      <c r="E21" s="112">
        <v>4623097.0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168</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169</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170</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171</v>
      </c>
      <c r="D25" s="122"/>
      <c r="E25" s="119">
        <v>9.5153326E7</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172</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173</v>
      </c>
      <c r="D27" s="118"/>
      <c r="E27" s="119">
        <v>6121765.0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174</v>
      </c>
      <c r="D28" s="126"/>
      <c r="E28" s="127">
        <f>sum(E19:E27)</f>
        <v>108235790</v>
      </c>
      <c r="F28" s="43"/>
      <c r="G28" s="43"/>
      <c r="H28" s="43"/>
      <c r="I28" s="43"/>
      <c r="J28" s="43"/>
      <c r="K28" s="43"/>
      <c r="L28" s="43"/>
      <c r="M28" s="43"/>
      <c r="N28" s="43"/>
      <c r="O28" s="43"/>
      <c r="P28" s="43"/>
      <c r="Q28" s="43"/>
      <c r="R28" s="43"/>
      <c r="S28" s="43"/>
      <c r="T28" s="43"/>
      <c r="U28" s="43"/>
      <c r="V28" s="43"/>
      <c r="W28" s="43"/>
      <c r="X28" s="43"/>
      <c r="Y28" s="43"/>
      <c r="Z28" s="43"/>
    </row>
    <row r="29">
      <c r="A29" s="65" t="s">
        <v>175</v>
      </c>
      <c r="B29" s="128"/>
      <c r="C29" s="129" t="s">
        <v>176</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177</v>
      </c>
      <c r="D30" s="118"/>
      <c r="E30" s="112">
        <v>1.19484223E8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178</v>
      </c>
      <c r="D31" s="118"/>
      <c r="E31" s="112">
        <v>8815711.0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179</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180</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181</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182</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183</v>
      </c>
      <c r="D36" s="132"/>
      <c r="E36" s="127">
        <f>sum(E30:E35)</f>
        <v>128299934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184</v>
      </c>
      <c r="D37" s="136"/>
      <c r="E37" s="137">
        <f>E36+E28</f>
        <v>236535724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GREATER MINNESOTA HOUSING FUND</v>
      </c>
      <c r="B1" s="2">
        <f>'Revenues 2023'!C1</f>
        <v>2023</v>
      </c>
      <c r="C1" s="175"/>
      <c r="D1" s="139"/>
      <c r="E1" s="140"/>
      <c r="F1" s="43"/>
      <c r="G1" s="43"/>
      <c r="H1" s="43"/>
      <c r="I1" s="43"/>
      <c r="J1" s="43"/>
      <c r="K1" s="43"/>
      <c r="L1" s="43"/>
      <c r="M1" s="43"/>
      <c r="N1" s="43"/>
      <c r="O1" s="43"/>
      <c r="P1" s="43"/>
      <c r="Q1" s="43"/>
      <c r="R1" s="43"/>
      <c r="S1" s="43"/>
      <c r="T1" s="43"/>
      <c r="U1" s="43"/>
      <c r="V1" s="43"/>
      <c r="W1" s="43"/>
      <c r="X1" s="43"/>
      <c r="Y1" s="43"/>
    </row>
    <row r="2">
      <c r="A2" s="141" t="s">
        <v>185</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186</v>
      </c>
      <c r="C3" s="145" t="s">
        <v>187</v>
      </c>
      <c r="D3" s="146">
        <f>'Expenses 2023'!C40</f>
        <v>10679953</v>
      </c>
      <c r="E3" s="147"/>
      <c r="F3" s="43"/>
      <c r="G3" s="43"/>
      <c r="H3" s="43"/>
      <c r="I3" s="43"/>
      <c r="J3" s="43"/>
      <c r="K3" s="43"/>
      <c r="L3" s="43"/>
      <c r="M3" s="43"/>
      <c r="N3" s="43"/>
      <c r="O3" s="43"/>
      <c r="P3" s="43"/>
      <c r="Q3" s="43"/>
      <c r="R3" s="43"/>
      <c r="S3" s="43"/>
      <c r="T3" s="43"/>
      <c r="U3" s="43"/>
      <c r="V3" s="43"/>
      <c r="W3" s="43"/>
      <c r="X3" s="43"/>
      <c r="Y3" s="43"/>
    </row>
    <row r="4">
      <c r="A4" s="139"/>
      <c r="B4" s="49"/>
      <c r="C4" s="145" t="s">
        <v>188</v>
      </c>
      <c r="D4" s="146">
        <f>'Expenses 2023'!C31</f>
        <v>24639</v>
      </c>
      <c r="E4" s="147"/>
      <c r="F4" s="43"/>
      <c r="G4" s="43"/>
      <c r="H4" s="43"/>
      <c r="I4" s="43"/>
      <c r="J4" s="43"/>
      <c r="K4" s="43"/>
      <c r="L4" s="43"/>
      <c r="M4" s="43"/>
      <c r="N4" s="43"/>
      <c r="O4" s="43"/>
      <c r="P4" s="43"/>
      <c r="Q4" s="43"/>
      <c r="R4" s="43"/>
      <c r="S4" s="43"/>
      <c r="T4" s="43"/>
      <c r="U4" s="43"/>
      <c r="V4" s="43"/>
      <c r="W4" s="43"/>
      <c r="X4" s="43"/>
      <c r="Y4" s="43"/>
    </row>
    <row r="5">
      <c r="A5" s="139"/>
      <c r="B5" s="49"/>
      <c r="C5" s="145" t="s">
        <v>189</v>
      </c>
      <c r="D5" s="146">
        <f>D3-D4</f>
        <v>10655314</v>
      </c>
      <c r="E5" s="147"/>
      <c r="F5" s="43"/>
      <c r="G5" s="43"/>
      <c r="H5" s="43"/>
      <c r="I5" s="43"/>
      <c r="J5" s="43"/>
      <c r="K5" s="43"/>
      <c r="L5" s="43"/>
      <c r="M5" s="43"/>
      <c r="N5" s="43"/>
      <c r="O5" s="43"/>
      <c r="P5" s="43"/>
      <c r="Q5" s="43"/>
      <c r="R5" s="43"/>
      <c r="S5" s="43"/>
      <c r="T5" s="43"/>
      <c r="U5" s="43"/>
      <c r="V5" s="43"/>
      <c r="W5" s="43"/>
      <c r="X5" s="43"/>
      <c r="Y5" s="43"/>
    </row>
    <row r="6">
      <c r="A6" s="139"/>
      <c r="B6" s="49"/>
      <c r="C6" s="145" t="s">
        <v>190</v>
      </c>
      <c r="D6" s="146">
        <f>D5/12</f>
        <v>887942.8333</v>
      </c>
      <c r="E6" s="147"/>
      <c r="F6" s="43"/>
      <c r="G6" s="43"/>
      <c r="H6" s="43"/>
      <c r="I6" s="43"/>
      <c r="J6" s="43"/>
      <c r="K6" s="43"/>
      <c r="L6" s="43"/>
      <c r="M6" s="43"/>
      <c r="N6" s="43"/>
      <c r="O6" s="43"/>
      <c r="P6" s="43"/>
      <c r="Q6" s="43"/>
      <c r="R6" s="43"/>
      <c r="S6" s="43"/>
      <c r="T6" s="43"/>
      <c r="U6" s="43"/>
      <c r="V6" s="43"/>
      <c r="W6" s="43"/>
      <c r="X6" s="43"/>
      <c r="Y6" s="43"/>
    </row>
    <row r="7">
      <c r="A7" s="139"/>
      <c r="B7" s="49"/>
      <c r="C7" s="145" t="s">
        <v>191</v>
      </c>
      <c r="D7" s="75">
        <f>'Balance Sheet 2023'!E2+'Balance Sheet 2023'!E3</f>
        <v>14521919</v>
      </c>
      <c r="E7" s="147"/>
      <c r="F7" s="43"/>
      <c r="G7" s="43"/>
      <c r="H7" s="43"/>
      <c r="I7" s="43"/>
      <c r="J7" s="43"/>
      <c r="K7" s="43"/>
      <c r="L7" s="43"/>
      <c r="M7" s="43"/>
      <c r="N7" s="43"/>
      <c r="O7" s="43"/>
      <c r="P7" s="43"/>
      <c r="Q7" s="43"/>
      <c r="R7" s="43"/>
      <c r="S7" s="43"/>
      <c r="T7" s="43"/>
      <c r="U7" s="43"/>
      <c r="V7" s="43"/>
      <c r="W7" s="43"/>
      <c r="X7" s="43"/>
      <c r="Y7" s="43"/>
    </row>
    <row r="8">
      <c r="A8" s="139"/>
      <c r="B8" s="49"/>
      <c r="C8" s="148" t="s">
        <v>185</v>
      </c>
      <c r="D8" s="149">
        <f>D7/D6</f>
        <v>16.35456524</v>
      </c>
      <c r="E8" s="150" t="s">
        <v>192</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193</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194</v>
      </c>
      <c r="C11" s="145" t="s">
        <v>195</v>
      </c>
      <c r="D11" s="75">
        <f>'Balance Sheet 2023'!E30</f>
        <v>119484223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196</v>
      </c>
      <c r="D12" s="75">
        <f>'Expenses 2023'!C40</f>
        <v>10679953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197</v>
      </c>
      <c r="D13" s="146">
        <f>D12/12</f>
        <v>889996.0833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193</v>
      </c>
      <c r="D14" s="149">
        <f>D11/D13</f>
        <v>134.2525268</v>
      </c>
      <c r="E14" s="150" t="s">
        <v>192</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198</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199</v>
      </c>
      <c r="C17" s="145" t="s">
        <v>200</v>
      </c>
      <c r="D17" s="75">
        <f>sum('Balance Sheet 2023'!E13:E15)</f>
        <v>216937898</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196</v>
      </c>
      <c r="D18" s="75">
        <f>'Expenses 2023'!C40</f>
        <v>10679953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197</v>
      </c>
      <c r="D19" s="146">
        <f>D18/12</f>
        <v>889996.0833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201</v>
      </c>
      <c r="D20" s="149">
        <f>D17/D19</f>
        <v>243.7515199</v>
      </c>
      <c r="E20" s="150" t="s">
        <v>192</v>
      </c>
      <c r="F20" s="43"/>
      <c r="G20" s="43"/>
      <c r="H20" s="43"/>
      <c r="I20" s="43"/>
      <c r="J20" s="43"/>
      <c r="K20" s="43"/>
      <c r="L20" s="43"/>
      <c r="M20" s="43"/>
      <c r="N20" s="43"/>
      <c r="O20" s="43"/>
      <c r="P20" s="43"/>
      <c r="Q20" s="43"/>
      <c r="R20" s="43"/>
      <c r="S20" s="43"/>
      <c r="T20" s="43"/>
      <c r="U20" s="43"/>
      <c r="V20" s="43"/>
      <c r="W20" s="43"/>
      <c r="X20" s="43"/>
      <c r="Y20" s="43"/>
    </row>
    <row r="21">
      <c r="A21" s="139"/>
      <c r="B21" s="49"/>
      <c r="C21" s="154" t="s">
        <v>202</v>
      </c>
      <c r="D21" s="155">
        <f>D20+D8</f>
        <v>260.1060851</v>
      </c>
      <c r="E21" s="156" t="s">
        <v>192</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203</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204</v>
      </c>
      <c r="C24" s="160"/>
      <c r="D24" s="161">
        <f>max('Revenues 2023'!E2:E7,'Revenues 2023'!F10:F15)</f>
        <v>7640000</v>
      </c>
      <c r="E24" s="162" t="s">
        <v>205</v>
      </c>
      <c r="F24" s="43"/>
      <c r="G24" s="43"/>
      <c r="H24" s="43"/>
      <c r="I24" s="43"/>
      <c r="J24" s="43"/>
      <c r="K24" s="43"/>
      <c r="L24" s="43"/>
      <c r="M24" s="43"/>
      <c r="N24" s="43"/>
      <c r="O24" s="43"/>
      <c r="P24" s="43"/>
      <c r="Q24" s="43"/>
      <c r="R24" s="43"/>
      <c r="S24" s="43"/>
      <c r="T24" s="43"/>
      <c r="U24" s="43"/>
      <c r="V24" s="43"/>
      <c r="W24" s="43"/>
      <c r="X24" s="43"/>
      <c r="Y24" s="43"/>
    </row>
    <row r="25">
      <c r="A25" s="139"/>
      <c r="B25" s="49"/>
      <c r="C25" s="145" t="s">
        <v>206</v>
      </c>
      <c r="D25" s="146">
        <f>'Revenues 2023'!F44</f>
        <v>21142915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203</v>
      </c>
      <c r="D26" s="163">
        <f>D24/D25</f>
        <v>0.3613503625</v>
      </c>
      <c r="E26" s="150" t="s">
        <v>207</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208</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209</v>
      </c>
      <c r="C29" s="145" t="s">
        <v>210</v>
      </c>
      <c r="D29" s="75">
        <f>SUM('Expenses 2023'!C7:C9)</f>
        <v>3553003</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211</v>
      </c>
      <c r="D30" s="75">
        <f>SUM('Expenses 2023'!C10:C12)</f>
        <v>1217529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212</v>
      </c>
      <c r="D31" s="75">
        <f>sum(D29:D30)</f>
        <v>4770532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187</v>
      </c>
      <c r="D32" s="75">
        <f>'Expenses 2023'!C40</f>
        <v>10679953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213</v>
      </c>
      <c r="D33" s="163">
        <f>D31/D32</f>
        <v>0.4466809919</v>
      </c>
      <c r="E33" s="150" t="s">
        <v>214</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215</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216</v>
      </c>
      <c r="C36" s="145" t="s">
        <v>217</v>
      </c>
      <c r="D36" s="75">
        <f>SUM('Expenses 2023'!C10:C11)</f>
        <v>944918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210</v>
      </c>
      <c r="D37" s="75">
        <f>SUM('Expenses 2023'!C7:C9)</f>
        <v>3553003</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215</v>
      </c>
      <c r="D38" s="163">
        <f>D36/D37</f>
        <v>0.265949114</v>
      </c>
      <c r="E38" s="150" t="s">
        <v>218</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219</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220</v>
      </c>
      <c r="C41" s="148" t="s">
        <v>254</v>
      </c>
      <c r="D41" s="75">
        <f>'Expenses 2023'!D40</f>
        <v>8372160</v>
      </c>
      <c r="E41" s="165">
        <f t="shared" ref="E41:E44" si="1">D41/$D$44</f>
        <v>0.7839135622</v>
      </c>
      <c r="F41" s="43"/>
      <c r="G41" s="43"/>
      <c r="H41" s="43"/>
      <c r="I41" s="43"/>
      <c r="J41" s="43"/>
      <c r="K41" s="43"/>
      <c r="L41" s="43"/>
      <c r="M41" s="43"/>
      <c r="N41" s="43"/>
      <c r="O41" s="43"/>
      <c r="P41" s="43"/>
      <c r="Q41" s="43"/>
      <c r="R41" s="43"/>
      <c r="S41" s="43"/>
      <c r="T41" s="43"/>
      <c r="U41" s="43"/>
      <c r="V41" s="43"/>
      <c r="W41" s="43"/>
      <c r="X41" s="43"/>
      <c r="Y41" s="43"/>
    </row>
    <row r="42">
      <c r="A42" s="139"/>
      <c r="B42" s="49"/>
      <c r="C42" s="148" t="s">
        <v>222</v>
      </c>
      <c r="D42" s="146">
        <f>'Expenses 2023'!E40</f>
        <v>2307793</v>
      </c>
      <c r="E42" s="165">
        <f t="shared" si="1"/>
        <v>0.2160864378</v>
      </c>
      <c r="F42" s="43"/>
      <c r="G42" s="43"/>
      <c r="H42" s="43"/>
      <c r="I42" s="43"/>
      <c r="J42" s="43"/>
      <c r="K42" s="43"/>
      <c r="L42" s="43"/>
      <c r="M42" s="43"/>
      <c r="N42" s="43"/>
      <c r="O42" s="43"/>
      <c r="P42" s="43"/>
      <c r="Q42" s="43"/>
      <c r="R42" s="43"/>
      <c r="S42" s="43"/>
      <c r="T42" s="43"/>
      <c r="U42" s="43"/>
      <c r="V42" s="43"/>
      <c r="W42" s="43"/>
      <c r="X42" s="43"/>
      <c r="Y42" s="43"/>
    </row>
    <row r="43">
      <c r="A43" s="139"/>
      <c r="B43" s="49"/>
      <c r="C43" s="148" t="s">
        <v>223</v>
      </c>
      <c r="D43" s="146">
        <f>'Expenses 2023'!F40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187</v>
      </c>
      <c r="D44" s="146">
        <f>sum(D41:D43)</f>
        <v>10679953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224</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225</v>
      </c>
      <c r="C47" s="145" t="s">
        <v>226</v>
      </c>
      <c r="D47" s="146">
        <f>'Revenues 2023'!F9</f>
        <v>13314955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227</v>
      </c>
      <c r="D48" s="146">
        <f>'Expenses 2023'!F40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228</v>
      </c>
      <c r="D49" s="166" t="str">
        <f>if(D48=0, "$0",D47/D48)</f>
        <v>$0</v>
      </c>
      <c r="E49" s="150" t="s">
        <v>229</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230</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231</v>
      </c>
      <c r="C52" s="145" t="s">
        <v>232</v>
      </c>
      <c r="D52" s="146">
        <f>sum('Balance Sheet 2023'!E2:E10)</f>
        <v>19071879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233</v>
      </c>
      <c r="D53" s="146">
        <f>sum('Balance Sheet 2023'!E19:E22)</f>
        <v>6960699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234</v>
      </c>
      <c r="D54" s="168">
        <f>D52/D53</f>
        <v>2.739937325</v>
      </c>
      <c r="E54" s="150" t="s">
        <v>235</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236</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237</v>
      </c>
      <c r="C57" s="145" t="s">
        <v>238</v>
      </c>
      <c r="D57" s="146">
        <f>sum('Balance Sheet 2023'!E25:E26)</f>
        <v>95153326</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239</v>
      </c>
      <c r="D58" s="146">
        <f>'Balance Sheet 2023'!E18</f>
        <v>236535724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240</v>
      </c>
      <c r="D59" s="169">
        <f>D57/D58</f>
        <v>0.4022788794</v>
      </c>
      <c r="E59" s="150" t="s">
        <v>241</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GREATER MINNESOTA HOUSING FUND</v>
      </c>
      <c r="B1" s="2" t="s">
        <v>255</v>
      </c>
      <c r="C1" s="139"/>
      <c r="D1" s="139"/>
      <c r="E1" s="139"/>
      <c r="F1" s="140"/>
      <c r="G1" s="140"/>
      <c r="H1" s="140"/>
      <c r="I1" s="43"/>
      <c r="J1" s="43"/>
      <c r="K1" s="43"/>
      <c r="L1" s="43"/>
      <c r="M1" s="43"/>
      <c r="N1" s="43"/>
      <c r="O1" s="43"/>
      <c r="P1" s="43"/>
      <c r="Q1" s="43"/>
      <c r="R1" s="43"/>
      <c r="S1" s="43"/>
      <c r="T1" s="43"/>
      <c r="U1" s="43"/>
      <c r="V1" s="43"/>
      <c r="W1" s="43"/>
      <c r="X1" s="43"/>
      <c r="Y1" s="43"/>
    </row>
    <row r="2">
      <c r="A2" s="141" t="s">
        <v>185</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186</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256</v>
      </c>
      <c r="E4" s="45" t="s">
        <v>257</v>
      </c>
      <c r="F4" s="45" t="s">
        <v>258</v>
      </c>
      <c r="G4" s="59" t="s">
        <v>259</v>
      </c>
      <c r="H4" s="59"/>
      <c r="I4" s="43"/>
      <c r="J4" s="43"/>
      <c r="K4" s="43"/>
      <c r="L4" s="43"/>
      <c r="M4" s="43"/>
      <c r="N4" s="43"/>
      <c r="O4" s="43"/>
      <c r="P4" s="43"/>
      <c r="Q4" s="43"/>
      <c r="R4" s="43"/>
      <c r="S4" s="43"/>
      <c r="T4" s="43"/>
      <c r="U4" s="43"/>
      <c r="V4" s="43"/>
      <c r="W4" s="43"/>
      <c r="X4" s="43"/>
      <c r="Y4" s="43"/>
    </row>
    <row r="5">
      <c r="A5" s="139"/>
      <c r="B5" s="49"/>
      <c r="C5" s="148" t="s">
        <v>185</v>
      </c>
      <c r="D5" s="176">
        <f>'Ratios 2021'!D8</f>
        <v>14.46919255</v>
      </c>
      <c r="E5" s="176">
        <f>'Ratios 2022'!D8</f>
        <v>12.39975459</v>
      </c>
      <c r="F5" s="176">
        <f>'Ratios 2023'!D8</f>
        <v>16.35456524</v>
      </c>
      <c r="G5" s="176">
        <f>average(D5:F5)</f>
        <v>14.40783746</v>
      </c>
      <c r="H5" s="150" t="s">
        <v>192</v>
      </c>
      <c r="I5" s="43"/>
      <c r="J5" s="43"/>
      <c r="K5" s="43"/>
      <c r="L5" s="43"/>
      <c r="M5" s="43"/>
      <c r="N5" s="43"/>
      <c r="O5" s="43"/>
      <c r="P5" s="43"/>
      <c r="Q5" s="43"/>
      <c r="R5" s="43"/>
      <c r="S5" s="43"/>
      <c r="T5" s="43"/>
      <c r="U5" s="43"/>
      <c r="V5" s="43"/>
      <c r="W5" s="43"/>
      <c r="X5" s="43"/>
      <c r="Y5" s="43"/>
    </row>
    <row r="6">
      <c r="A6" s="139"/>
      <c r="B6" s="52"/>
      <c r="C6" s="45"/>
      <c r="D6" s="45"/>
      <c r="E6" s="45"/>
      <c r="F6" s="177"/>
      <c r="G6" s="177"/>
      <c r="H6" s="177"/>
      <c r="I6" s="43"/>
      <c r="J6" s="43"/>
      <c r="K6" s="43"/>
      <c r="L6" s="43"/>
      <c r="M6" s="43"/>
      <c r="N6" s="43"/>
      <c r="O6" s="43"/>
      <c r="P6" s="43"/>
      <c r="Q6" s="43"/>
      <c r="R6" s="43"/>
      <c r="S6" s="43"/>
      <c r="T6" s="43"/>
      <c r="U6" s="43"/>
      <c r="V6" s="43"/>
      <c r="W6" s="43"/>
      <c r="X6" s="43"/>
      <c r="Y6" s="43"/>
    </row>
    <row r="7">
      <c r="A7" s="141" t="s">
        <v>193</v>
      </c>
      <c r="B7" s="5"/>
      <c r="C7" s="178"/>
      <c r="D7" s="178"/>
      <c r="E7" s="178"/>
      <c r="F7" s="178"/>
      <c r="G7" s="178"/>
      <c r="H7" s="178"/>
      <c r="I7" s="43"/>
      <c r="J7" s="43"/>
      <c r="K7" s="43"/>
      <c r="L7" s="43"/>
      <c r="M7" s="43"/>
      <c r="N7" s="43"/>
      <c r="O7" s="43"/>
      <c r="P7" s="43"/>
      <c r="Q7" s="43"/>
      <c r="R7" s="43"/>
      <c r="S7" s="43"/>
      <c r="T7" s="43"/>
      <c r="U7" s="43"/>
      <c r="V7" s="43"/>
      <c r="W7" s="43"/>
      <c r="X7" s="43"/>
      <c r="Y7" s="43"/>
    </row>
    <row r="8">
      <c r="A8" s="139"/>
      <c r="B8" s="144" t="s">
        <v>194</v>
      </c>
      <c r="C8" s="71"/>
      <c r="D8" s="71"/>
      <c r="E8" s="177"/>
      <c r="F8" s="177"/>
      <c r="G8" s="177"/>
      <c r="H8" s="177"/>
      <c r="I8" s="43"/>
      <c r="J8" s="43"/>
      <c r="K8" s="43"/>
      <c r="L8" s="43"/>
      <c r="M8" s="43"/>
      <c r="N8" s="43"/>
      <c r="O8" s="43"/>
      <c r="P8" s="43"/>
      <c r="Q8" s="43"/>
      <c r="R8" s="43"/>
      <c r="S8" s="43"/>
      <c r="T8" s="43"/>
      <c r="U8" s="43"/>
      <c r="V8" s="43"/>
      <c r="W8" s="43"/>
      <c r="X8" s="43"/>
      <c r="Y8" s="43"/>
    </row>
    <row r="9">
      <c r="A9" s="139"/>
      <c r="B9" s="49"/>
      <c r="C9" s="45"/>
      <c r="D9" s="45" t="s">
        <v>256</v>
      </c>
      <c r="E9" s="45" t="s">
        <v>257</v>
      </c>
      <c r="F9" s="45" t="s">
        <v>258</v>
      </c>
      <c r="G9" s="59" t="s">
        <v>259</v>
      </c>
      <c r="H9" s="59"/>
      <c r="I9" s="43"/>
      <c r="J9" s="43"/>
      <c r="K9" s="43"/>
      <c r="L9" s="43"/>
      <c r="M9" s="43"/>
      <c r="N9" s="43"/>
      <c r="O9" s="43"/>
      <c r="P9" s="43"/>
      <c r="Q9" s="43"/>
      <c r="R9" s="43"/>
      <c r="S9" s="43"/>
      <c r="T9" s="43"/>
      <c r="U9" s="43"/>
      <c r="V9" s="43"/>
      <c r="W9" s="43"/>
      <c r="X9" s="43"/>
      <c r="Y9" s="43"/>
    </row>
    <row r="10">
      <c r="A10" s="139"/>
      <c r="B10" s="49"/>
      <c r="C10" s="148" t="s">
        <v>193</v>
      </c>
      <c r="D10" s="149">
        <f>'Ratios 2021'!D14</f>
        <v>135.9384413</v>
      </c>
      <c r="E10" s="149">
        <f>'Ratios 2022'!D14</f>
        <v>105.9388289</v>
      </c>
      <c r="F10" s="149">
        <f>'Ratios 2023'!D14</f>
        <v>134.2525268</v>
      </c>
      <c r="G10" s="176">
        <f>average(D10:F10)</f>
        <v>125.376599</v>
      </c>
      <c r="H10" s="150" t="s">
        <v>192</v>
      </c>
      <c r="I10" s="43"/>
      <c r="J10" s="43"/>
      <c r="K10" s="43"/>
      <c r="L10" s="43"/>
      <c r="M10" s="43"/>
      <c r="N10" s="43"/>
      <c r="O10" s="43"/>
      <c r="P10" s="43"/>
      <c r="Q10" s="43"/>
      <c r="R10" s="43"/>
      <c r="S10" s="43"/>
      <c r="T10" s="43"/>
      <c r="U10" s="43"/>
      <c r="V10" s="43"/>
      <c r="W10" s="43"/>
      <c r="X10" s="43"/>
      <c r="Y10" s="43"/>
    </row>
    <row r="11">
      <c r="A11" s="139"/>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1" t="s">
        <v>198</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199</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256</v>
      </c>
      <c r="E14" s="45" t="s">
        <v>257</v>
      </c>
      <c r="F14" s="45" t="s">
        <v>258</v>
      </c>
      <c r="G14" s="59" t="s">
        <v>259</v>
      </c>
      <c r="H14" s="59"/>
      <c r="I14" s="43"/>
      <c r="J14" s="43"/>
      <c r="K14" s="43"/>
      <c r="L14" s="43"/>
      <c r="M14" s="43"/>
      <c r="N14" s="43"/>
      <c r="O14" s="43"/>
      <c r="P14" s="43"/>
      <c r="Q14" s="43"/>
      <c r="R14" s="43"/>
      <c r="S14" s="43"/>
      <c r="T14" s="43"/>
      <c r="U14" s="43"/>
      <c r="V14" s="43"/>
      <c r="W14" s="43"/>
      <c r="X14" s="43"/>
      <c r="Y14" s="43"/>
    </row>
    <row r="15">
      <c r="A15" s="139"/>
      <c r="B15" s="49"/>
      <c r="C15" s="148" t="s">
        <v>201</v>
      </c>
      <c r="D15" s="179">
        <f>'Ratios 2021'!D20</f>
        <v>257.3271167</v>
      </c>
      <c r="E15" s="179">
        <f>'Ratios 2022'!D20</f>
        <v>193.7789848</v>
      </c>
      <c r="F15" s="179">
        <f>'Ratios 2023'!D20</f>
        <v>243.7515199</v>
      </c>
      <c r="G15" s="176">
        <f>average(D15:F15)</f>
        <v>231.6192071</v>
      </c>
      <c r="H15" s="150" t="s">
        <v>192</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203</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204</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256</v>
      </c>
      <c r="E19" s="45" t="s">
        <v>257</v>
      </c>
      <c r="F19" s="45" t="s">
        <v>258</v>
      </c>
      <c r="G19" s="59" t="s">
        <v>259</v>
      </c>
      <c r="H19" s="59"/>
      <c r="I19" s="43"/>
      <c r="J19" s="43"/>
      <c r="K19" s="43"/>
      <c r="L19" s="43"/>
      <c r="M19" s="43"/>
      <c r="N19" s="43"/>
      <c r="O19" s="43"/>
      <c r="P19" s="43"/>
      <c r="Q19" s="43"/>
      <c r="R19" s="43"/>
      <c r="S19" s="43"/>
      <c r="T19" s="43"/>
      <c r="U19" s="43"/>
      <c r="V19" s="43"/>
      <c r="W19" s="43"/>
      <c r="X19" s="43"/>
      <c r="Y19" s="43"/>
    </row>
    <row r="20">
      <c r="A20" s="139"/>
      <c r="B20" s="49"/>
      <c r="C20" s="148" t="s">
        <v>203</v>
      </c>
      <c r="D20" s="163">
        <f>'Ratios 2021'!D26</f>
        <v>0.6555634979</v>
      </c>
      <c r="E20" s="163">
        <f>'Ratios 2022'!D26</f>
        <v>0.4791736746</v>
      </c>
      <c r="F20" s="163">
        <f>'Ratios 2023'!D26</f>
        <v>0.3613503625</v>
      </c>
      <c r="G20" s="180">
        <f>average(D20:F20)</f>
        <v>0.498695845</v>
      </c>
      <c r="H20" s="150" t="s">
        <v>207</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208</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209</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256</v>
      </c>
      <c r="E24" s="45" t="s">
        <v>257</v>
      </c>
      <c r="F24" s="45" t="s">
        <v>258</v>
      </c>
      <c r="G24" s="59" t="s">
        <v>259</v>
      </c>
      <c r="H24" s="59"/>
      <c r="I24" s="43"/>
      <c r="J24" s="43"/>
      <c r="K24" s="43"/>
      <c r="L24" s="43"/>
      <c r="M24" s="43"/>
      <c r="N24" s="43"/>
      <c r="O24" s="43"/>
      <c r="P24" s="43"/>
      <c r="Q24" s="43"/>
      <c r="R24" s="43"/>
      <c r="S24" s="43"/>
      <c r="T24" s="43"/>
      <c r="U24" s="43"/>
      <c r="V24" s="43"/>
      <c r="W24" s="43"/>
      <c r="X24" s="43"/>
      <c r="Y24" s="43"/>
    </row>
    <row r="25">
      <c r="A25" s="139"/>
      <c r="B25" s="49"/>
      <c r="C25" s="148" t="s">
        <v>213</v>
      </c>
      <c r="D25" s="163">
        <f>'Ratios 2021'!D33</f>
        <v>0.3507469538</v>
      </c>
      <c r="E25" s="163">
        <f>'Ratios 2022'!D33</f>
        <v>0.3314107905</v>
      </c>
      <c r="F25" s="163">
        <f>'Ratios 2023'!D33</f>
        <v>0.4466809919</v>
      </c>
      <c r="G25" s="180">
        <f>average(D25:F25)</f>
        <v>0.3762795788</v>
      </c>
      <c r="H25" s="150" t="s">
        <v>214</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215</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216</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256</v>
      </c>
      <c r="E29" s="45" t="s">
        <v>257</v>
      </c>
      <c r="F29" s="45" t="s">
        <v>258</v>
      </c>
      <c r="G29" s="59" t="s">
        <v>259</v>
      </c>
      <c r="H29" s="59"/>
      <c r="I29" s="43"/>
      <c r="J29" s="43"/>
      <c r="K29" s="43"/>
      <c r="L29" s="43"/>
      <c r="M29" s="43"/>
      <c r="N29" s="43"/>
      <c r="O29" s="43"/>
      <c r="P29" s="43"/>
      <c r="Q29" s="43"/>
      <c r="R29" s="43"/>
      <c r="S29" s="43"/>
      <c r="T29" s="43"/>
      <c r="U29" s="43"/>
      <c r="V29" s="43"/>
      <c r="W29" s="43"/>
      <c r="X29" s="43"/>
      <c r="Y29" s="43"/>
    </row>
    <row r="30">
      <c r="A30" s="139"/>
      <c r="B30" s="49"/>
      <c r="C30" s="148" t="s">
        <v>215</v>
      </c>
      <c r="D30" s="163">
        <f>'Ratios 2021'!D38</f>
        <v>0.1701174657</v>
      </c>
      <c r="E30" s="163">
        <f>'Ratios 2022'!D38</f>
        <v>0.1954666232</v>
      </c>
      <c r="F30" s="163">
        <f>'Ratios 2023'!D38</f>
        <v>0.265949114</v>
      </c>
      <c r="G30" s="180">
        <f>average(D30:F30)</f>
        <v>0.2105110676</v>
      </c>
      <c r="H30" s="150" t="s">
        <v>218</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219</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220</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256</v>
      </c>
      <c r="E34" s="45" t="s">
        <v>257</v>
      </c>
      <c r="F34" s="45" t="s">
        <v>258</v>
      </c>
      <c r="G34" s="59" t="s">
        <v>259</v>
      </c>
      <c r="H34" s="59"/>
      <c r="I34" s="43"/>
      <c r="J34" s="43"/>
      <c r="K34" s="43"/>
      <c r="L34" s="43"/>
      <c r="M34" s="43"/>
      <c r="N34" s="43"/>
      <c r="O34" s="43"/>
      <c r="P34" s="43"/>
      <c r="Q34" s="43"/>
      <c r="R34" s="43"/>
      <c r="S34" s="43"/>
      <c r="T34" s="43"/>
      <c r="U34" s="43"/>
      <c r="V34" s="43"/>
      <c r="W34" s="43"/>
      <c r="X34" s="43"/>
      <c r="Y34" s="43"/>
    </row>
    <row r="35">
      <c r="A35" s="139"/>
      <c r="B35" s="49"/>
      <c r="C35" s="148" t="s">
        <v>260</v>
      </c>
      <c r="D35" s="163">
        <f>'Ratios 2021'!E41</f>
        <v>0.7640234289</v>
      </c>
      <c r="E35" s="163">
        <f>'Ratios 2022'!E41</f>
        <v>0.8294118427</v>
      </c>
      <c r="F35" s="163">
        <f>'Ratios 2023'!E41</f>
        <v>0.7839135622</v>
      </c>
      <c r="G35" s="180">
        <f t="shared" ref="G35:G37" si="1">average(D35:F35)</f>
        <v>0.7924496113</v>
      </c>
      <c r="H35" s="180"/>
      <c r="I35" s="43"/>
      <c r="J35" s="43"/>
      <c r="K35" s="43"/>
      <c r="L35" s="43"/>
      <c r="M35" s="43"/>
      <c r="N35" s="43"/>
      <c r="O35" s="43"/>
      <c r="P35" s="43"/>
      <c r="Q35" s="43"/>
      <c r="R35" s="43"/>
      <c r="S35" s="43"/>
      <c r="T35" s="43"/>
      <c r="U35" s="43"/>
      <c r="V35" s="43"/>
      <c r="W35" s="43"/>
      <c r="X35" s="43"/>
      <c r="Y35" s="43"/>
    </row>
    <row r="36">
      <c r="A36" s="139"/>
      <c r="B36" s="52"/>
      <c r="C36" s="148" t="s">
        <v>222</v>
      </c>
      <c r="D36" s="163">
        <f>'Ratios 2021'!E42</f>
        <v>0.2359765711</v>
      </c>
      <c r="E36" s="163">
        <f>'Ratios 2022'!E42</f>
        <v>0.1705881573</v>
      </c>
      <c r="F36" s="163">
        <f>'Ratios 2023'!E42</f>
        <v>0.2160864378</v>
      </c>
      <c r="G36" s="180">
        <f t="shared" si="1"/>
        <v>0.2075503887</v>
      </c>
      <c r="H36" s="180"/>
      <c r="I36" s="43"/>
      <c r="J36" s="43"/>
      <c r="K36" s="43"/>
      <c r="L36" s="43"/>
      <c r="M36" s="43"/>
      <c r="N36" s="43"/>
      <c r="O36" s="43"/>
      <c r="P36" s="43"/>
      <c r="Q36" s="43"/>
      <c r="R36" s="43"/>
      <c r="S36" s="43"/>
      <c r="T36" s="43"/>
      <c r="U36" s="43"/>
      <c r="V36" s="43"/>
      <c r="W36" s="43"/>
      <c r="X36" s="43"/>
      <c r="Y36" s="43"/>
    </row>
    <row r="37">
      <c r="A37" s="139"/>
      <c r="B37" s="181"/>
      <c r="C37" s="148" t="s">
        <v>223</v>
      </c>
      <c r="D37" s="163">
        <f>'Ratios 2021'!E43</f>
        <v>0</v>
      </c>
      <c r="E37" s="163">
        <f>'Ratios 2022'!E43</f>
        <v>0</v>
      </c>
      <c r="F37" s="163">
        <f>'Ratios 2023'!E43</f>
        <v>0</v>
      </c>
      <c r="G37" s="180">
        <f t="shared" si="1"/>
        <v>0</v>
      </c>
      <c r="H37" s="180"/>
      <c r="I37" s="43"/>
      <c r="J37" s="43"/>
      <c r="K37" s="43"/>
      <c r="L37" s="43"/>
      <c r="M37" s="43"/>
      <c r="N37" s="43"/>
      <c r="O37" s="43"/>
      <c r="P37" s="43"/>
      <c r="Q37" s="43"/>
      <c r="R37" s="43"/>
      <c r="S37" s="43"/>
      <c r="T37" s="43"/>
      <c r="U37" s="43"/>
      <c r="V37" s="43"/>
      <c r="W37" s="43"/>
      <c r="X37" s="43"/>
      <c r="Y37" s="43"/>
    </row>
    <row r="38">
      <c r="A38" s="139"/>
      <c r="B38" s="181"/>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224</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225</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256</v>
      </c>
      <c r="E41" s="45" t="s">
        <v>257</v>
      </c>
      <c r="F41" s="45" t="s">
        <v>258</v>
      </c>
      <c r="G41" s="59" t="s">
        <v>259</v>
      </c>
      <c r="H41" s="59"/>
      <c r="I41" s="43"/>
      <c r="J41" s="43"/>
      <c r="K41" s="43"/>
      <c r="L41" s="43"/>
      <c r="M41" s="43"/>
      <c r="N41" s="43"/>
      <c r="O41" s="43"/>
      <c r="P41" s="43"/>
      <c r="Q41" s="43"/>
      <c r="R41" s="43"/>
      <c r="S41" s="43"/>
      <c r="T41" s="43"/>
      <c r="U41" s="43"/>
      <c r="V41" s="43"/>
      <c r="W41" s="43"/>
      <c r="X41" s="43"/>
      <c r="Y41" s="43"/>
    </row>
    <row r="42">
      <c r="A42" s="139"/>
      <c r="B42" s="49"/>
      <c r="C42" s="148" t="s">
        <v>228</v>
      </c>
      <c r="D42" s="166" t="str">
        <f>'Ratios 2021'!D49</f>
        <v>$0</v>
      </c>
      <c r="E42" s="166" t="str">
        <f>'Ratios 2022'!D49</f>
        <v>$0</v>
      </c>
      <c r="F42" s="166" t="str">
        <f>'Ratios 2023'!D49</f>
        <v>$0</v>
      </c>
      <c r="G42" s="182" t="str">
        <f>average(D42:F42)</f>
        <v>#DIV/0!</v>
      </c>
      <c r="H42" s="150" t="s">
        <v>229</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230</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231</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256</v>
      </c>
      <c r="E46" s="45" t="s">
        <v>257</v>
      </c>
      <c r="F46" s="45" t="s">
        <v>258</v>
      </c>
      <c r="G46" s="59" t="s">
        <v>259</v>
      </c>
      <c r="H46" s="59"/>
      <c r="I46" s="43"/>
      <c r="J46" s="43"/>
      <c r="K46" s="43"/>
      <c r="L46" s="43"/>
      <c r="M46" s="43"/>
      <c r="N46" s="43"/>
      <c r="O46" s="43"/>
      <c r="P46" s="43"/>
      <c r="Q46" s="43"/>
      <c r="R46" s="43"/>
      <c r="S46" s="43"/>
      <c r="T46" s="43"/>
      <c r="U46" s="43"/>
      <c r="V46" s="43"/>
      <c r="W46" s="43"/>
      <c r="X46" s="43"/>
      <c r="Y46" s="43"/>
    </row>
    <row r="47">
      <c r="A47" s="139"/>
      <c r="B47" s="49"/>
      <c r="C47" s="148" t="s">
        <v>234</v>
      </c>
      <c r="D47" s="149">
        <f>'Ratios 2021'!D54</f>
        <v>8.125012558</v>
      </c>
      <c r="E47" s="149">
        <f>'Ratios 2022'!D54</f>
        <v>6.568435608</v>
      </c>
      <c r="F47" s="149">
        <f>'Ratios 2023'!D54</f>
        <v>2.739937325</v>
      </c>
      <c r="G47" s="176">
        <f>average(D47:F47)</f>
        <v>5.811128497</v>
      </c>
      <c r="H47" s="150" t="s">
        <v>235</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236</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237</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256</v>
      </c>
      <c r="E51" s="45" t="s">
        <v>257</v>
      </c>
      <c r="F51" s="45" t="s">
        <v>258</v>
      </c>
      <c r="G51" s="59" t="s">
        <v>259</v>
      </c>
      <c r="H51" s="59"/>
      <c r="I51" s="43"/>
      <c r="J51" s="43"/>
      <c r="K51" s="43"/>
      <c r="L51" s="43"/>
      <c r="M51" s="43"/>
      <c r="N51" s="43"/>
      <c r="O51" s="43"/>
      <c r="P51" s="43"/>
      <c r="Q51" s="43"/>
      <c r="R51" s="43"/>
      <c r="S51" s="43"/>
      <c r="T51" s="43"/>
      <c r="U51" s="43"/>
      <c r="V51" s="43"/>
      <c r="W51" s="43"/>
      <c r="X51" s="43"/>
      <c r="Y51" s="43"/>
    </row>
    <row r="52">
      <c r="A52" s="139"/>
      <c r="B52" s="49"/>
      <c r="C52" s="148" t="s">
        <v>240</v>
      </c>
      <c r="D52" s="183">
        <f>'Ratios 2021'!D59</f>
        <v>0.4116004843</v>
      </c>
      <c r="E52" s="183">
        <f>'Ratios 2022'!D59</f>
        <v>0.415959115</v>
      </c>
      <c r="F52" s="183">
        <f>'Ratios 2023'!D59</f>
        <v>0.4022788794</v>
      </c>
      <c r="G52" s="184">
        <f>average(D52:F52)</f>
        <v>0.4099461596</v>
      </c>
      <c r="H52" s="150" t="s">
        <v>241</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GREATER MINNESOTA HOUSING FUND</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GREATER MINNESOTA HOUSING FUND</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1.2567187E7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12567187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4080460.0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580096.0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489399.0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155002.0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0" t="s">
        <v>68</v>
      </c>
      <c r="D15" s="61"/>
      <c r="E15" s="61"/>
      <c r="F15" s="62">
        <v>317438.0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5622395</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929360.0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84</v>
      </c>
      <c r="D26" s="50">
        <v>5.8716391E7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5.8733369E7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-16978</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-16978</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100</v>
      </c>
      <c r="C39" s="60" t="s">
        <v>101</v>
      </c>
      <c r="D39" s="74"/>
      <c r="E39" s="48">
        <v>72646.0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102</v>
      </c>
      <c r="D42" s="74"/>
      <c r="E42" s="48">
        <v>-4557.0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68089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19170053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GREATER MINNESOTA HOUSING FUND</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629903</v>
      </c>
      <c r="D3" s="99">
        <v>629903.0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781653</v>
      </c>
      <c r="D7" s="99">
        <v>509860.0</v>
      </c>
      <c r="E7" s="99">
        <v>271793.0</v>
      </c>
      <c r="F7" s="99">
        <v>0.0</v>
      </c>
      <c r="G7" s="43"/>
      <c r="H7" s="43"/>
      <c r="I7" s="43"/>
      <c r="J7" s="43"/>
      <c r="K7" s="43"/>
      <c r="L7" s="43"/>
      <c r="M7" s="43"/>
      <c r="N7" s="43"/>
      <c r="O7" s="43"/>
      <c r="P7" s="43"/>
      <c r="Q7" s="43"/>
      <c r="R7" s="43"/>
      <c r="S7" s="43"/>
      <c r="T7" s="43"/>
      <c r="U7" s="43"/>
      <c r="V7" s="43"/>
      <c r="W7" s="43"/>
      <c r="X7" s="43"/>
      <c r="Y7" s="43"/>
      <c r="Z7" s="43"/>
    </row>
    <row r="8">
      <c r="A8" s="80">
        <v>6.0</v>
      </c>
      <c r="B8" s="96" t="s">
        <v>113</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114</v>
      </c>
      <c r="C9" s="98">
        <f t="shared" si="1"/>
        <v>1728442</v>
      </c>
      <c r="D9" s="99">
        <v>1262699.0</v>
      </c>
      <c r="E9" s="99">
        <v>465743.0</v>
      </c>
      <c r="F9" s="99">
        <v>0.0</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179964</v>
      </c>
      <c r="D10" s="99">
        <v>140868.0</v>
      </c>
      <c r="E10" s="99">
        <v>39096.0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247047</v>
      </c>
      <c r="D11" s="99">
        <v>170323.0</v>
      </c>
      <c r="E11" s="99">
        <v>76724.0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176494</v>
      </c>
      <c r="D12" s="99">
        <v>125215.0</v>
      </c>
      <c r="E12" s="99">
        <v>51279.0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78086</v>
      </c>
      <c r="D15" s="99">
        <v>0.0</v>
      </c>
      <c r="E15" s="99">
        <v>78086.0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41951</v>
      </c>
      <c r="D16" s="99">
        <v>0.0</v>
      </c>
      <c r="E16" s="99">
        <v>41951.0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47500</v>
      </c>
      <c r="D17" s="99">
        <v>0.0</v>
      </c>
      <c r="E17" s="99">
        <v>47500.0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98932</v>
      </c>
      <c r="D19" s="99">
        <v>0.0</v>
      </c>
      <c r="E19" s="99">
        <v>98932.0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1301300</v>
      </c>
      <c r="D20" s="99">
        <v>558253.0</v>
      </c>
      <c r="E20" s="99">
        <v>743047.0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113071</v>
      </c>
      <c r="D22" s="99">
        <v>80219.0</v>
      </c>
      <c r="E22" s="99">
        <v>32852.0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13918</v>
      </c>
      <c r="D23" s="99">
        <v>9874.0</v>
      </c>
      <c r="E23" s="99">
        <v>4044.0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115931</v>
      </c>
      <c r="D25" s="99">
        <v>82248.0</v>
      </c>
      <c r="E25" s="99">
        <v>33683.0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997</v>
      </c>
      <c r="D26" s="99">
        <v>707.0</v>
      </c>
      <c r="E26" s="99">
        <v>290.0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40882</v>
      </c>
      <c r="D28" s="99">
        <v>14656.0</v>
      </c>
      <c r="E28" s="99">
        <v>26226.0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1838571</v>
      </c>
      <c r="D29" s="99">
        <v>1838571.0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22183</v>
      </c>
      <c r="D31" s="99">
        <v>15738.0</v>
      </c>
      <c r="E31" s="99">
        <v>6445.0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144121</v>
      </c>
      <c r="D32" s="99">
        <v>75864.0</v>
      </c>
      <c r="E32" s="99">
        <v>68257.0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102" t="s">
        <v>139</v>
      </c>
      <c r="C34" s="98">
        <f t="shared" si="1"/>
        <v>1231956</v>
      </c>
      <c r="D34" s="99">
        <v>1231956.0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140</v>
      </c>
      <c r="C35" s="98">
        <f t="shared" si="1"/>
        <v>24525</v>
      </c>
      <c r="D35" s="99">
        <v>15696.0</v>
      </c>
      <c r="E35" s="99">
        <v>8829.0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141</v>
      </c>
      <c r="C36" s="98">
        <f t="shared" si="1"/>
        <v>19628</v>
      </c>
      <c r="D36" s="99">
        <v>19628.0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4">
        <f t="shared" ref="C40:F40" si="2">sum(C3:C39)</f>
        <v>8877055</v>
      </c>
      <c r="D40" s="104">
        <f t="shared" si="2"/>
        <v>6782278</v>
      </c>
      <c r="E40" s="104">
        <f t="shared" si="2"/>
        <v>2094777</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GREATER MINNESOTA HOUSING FUND</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144</v>
      </c>
      <c r="B2" s="45">
        <v>1.0</v>
      </c>
      <c r="C2" s="46" t="s">
        <v>145</v>
      </c>
      <c r="D2" s="111"/>
      <c r="E2" s="112">
        <v>9716756.0</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3"/>
      <c r="E3" s="112">
        <v>960148.0</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1"/>
      <c r="E4" s="112">
        <v>3140000.0</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1"/>
      <c r="E10" s="112">
        <v>93605.0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2">
        <v>472191.0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2">
        <v>445798.0</v>
      </c>
      <c r="E12" s="109">
        <f>D11-D12</f>
        <v>26393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3"/>
      <c r="E13" s="112">
        <v>5.8278638E7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3"/>
      <c r="E14" s="112">
        <v>772670.0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3"/>
      <c r="E15" s="112">
        <v>1.31307606E8</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3"/>
      <c r="E17" s="112">
        <v>4819730.0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4"/>
      <c r="E18" s="115">
        <f>sum(E2:E17)</f>
        <v>209115546</v>
      </c>
      <c r="F18" s="43"/>
      <c r="G18" s="43"/>
      <c r="H18" s="43"/>
      <c r="I18" s="43"/>
      <c r="J18" s="43"/>
      <c r="K18" s="43"/>
      <c r="L18" s="43"/>
      <c r="M18" s="43"/>
      <c r="N18" s="43"/>
      <c r="O18" s="43"/>
      <c r="P18" s="43"/>
      <c r="Q18" s="43"/>
      <c r="R18" s="43"/>
      <c r="S18" s="43"/>
      <c r="T18" s="43"/>
      <c r="U18" s="43"/>
      <c r="V18" s="43"/>
      <c r="W18" s="43"/>
      <c r="X18" s="43"/>
      <c r="Y18" s="43"/>
      <c r="Z18" s="43"/>
    </row>
    <row r="19">
      <c r="A19" s="44" t="s">
        <v>164</v>
      </c>
      <c r="B19" s="116">
        <v>17.0</v>
      </c>
      <c r="C19" s="117" t="s">
        <v>165</v>
      </c>
      <c r="D19" s="118"/>
      <c r="E19" s="112">
        <v>1531794.0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166</v>
      </c>
      <c r="D20" s="118"/>
      <c r="E20" s="112">
        <v>100333.0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167</v>
      </c>
      <c r="D21" s="118"/>
      <c r="E21" s="112">
        <v>79933.0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168</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169</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170</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171</v>
      </c>
      <c r="D25" s="122"/>
      <c r="E25" s="119">
        <v>8.607206E7</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172</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173</v>
      </c>
      <c r="D27" s="118"/>
      <c r="E27" s="119">
        <v>1.3668563E7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174</v>
      </c>
      <c r="D28" s="126"/>
      <c r="E28" s="127">
        <f>sum(E19:E27)</f>
        <v>101452683</v>
      </c>
      <c r="F28" s="43"/>
      <c r="G28" s="43"/>
      <c r="H28" s="43"/>
      <c r="I28" s="43"/>
      <c r="J28" s="43"/>
      <c r="K28" s="43"/>
      <c r="L28" s="43"/>
      <c r="M28" s="43"/>
      <c r="N28" s="43"/>
      <c r="O28" s="43"/>
      <c r="P28" s="43"/>
      <c r="Q28" s="43"/>
      <c r="R28" s="43"/>
      <c r="S28" s="43"/>
      <c r="T28" s="43"/>
      <c r="U28" s="43"/>
      <c r="V28" s="43"/>
      <c r="W28" s="43"/>
      <c r="X28" s="43"/>
      <c r="Y28" s="43"/>
      <c r="Z28" s="43"/>
    </row>
    <row r="29">
      <c r="A29" s="65" t="s">
        <v>175</v>
      </c>
      <c r="B29" s="128"/>
      <c r="C29" s="129" t="s">
        <v>176</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177</v>
      </c>
      <c r="D30" s="118"/>
      <c r="E30" s="112">
        <v>1.00561085E8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178</v>
      </c>
      <c r="D31" s="118"/>
      <c r="E31" s="112">
        <v>7101778.0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179</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180</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181</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182</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183</v>
      </c>
      <c r="D36" s="132"/>
      <c r="E36" s="127">
        <f>sum(E30:E35)</f>
        <v>107662863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184</v>
      </c>
      <c r="D37" s="136"/>
      <c r="E37" s="137">
        <f>E36+E28</f>
        <v>209115546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GREATER MINNESOTA HOUSING FUND</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185</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186</v>
      </c>
      <c r="C3" s="145" t="s">
        <v>187</v>
      </c>
      <c r="D3" s="146">
        <f>'Expenses 2021'!C40</f>
        <v>8877055</v>
      </c>
      <c r="E3" s="147"/>
      <c r="F3" s="43"/>
      <c r="G3" s="43"/>
      <c r="H3" s="43"/>
      <c r="I3" s="43"/>
      <c r="J3" s="43"/>
      <c r="K3" s="43"/>
      <c r="L3" s="43"/>
      <c r="M3" s="43"/>
      <c r="N3" s="43"/>
      <c r="O3" s="43"/>
      <c r="P3" s="43"/>
      <c r="Q3" s="43"/>
      <c r="R3" s="43"/>
      <c r="S3" s="43"/>
      <c r="T3" s="43"/>
      <c r="U3" s="43"/>
      <c r="V3" s="43"/>
      <c r="W3" s="43"/>
      <c r="X3" s="43"/>
      <c r="Y3" s="43"/>
    </row>
    <row r="4">
      <c r="A4" s="139"/>
      <c r="B4" s="49"/>
      <c r="C4" s="145" t="s">
        <v>188</v>
      </c>
      <c r="D4" s="146">
        <f>'Expenses 2021'!C31</f>
        <v>22183</v>
      </c>
      <c r="E4" s="147"/>
      <c r="F4" s="43"/>
      <c r="G4" s="43"/>
      <c r="H4" s="43"/>
      <c r="I4" s="43"/>
      <c r="J4" s="43"/>
      <c r="K4" s="43"/>
      <c r="L4" s="43"/>
      <c r="M4" s="43"/>
      <c r="N4" s="43"/>
      <c r="O4" s="43"/>
      <c r="P4" s="43"/>
      <c r="Q4" s="43"/>
      <c r="R4" s="43"/>
      <c r="S4" s="43"/>
      <c r="T4" s="43"/>
      <c r="U4" s="43"/>
      <c r="V4" s="43"/>
      <c r="W4" s="43"/>
      <c r="X4" s="43"/>
      <c r="Y4" s="43"/>
    </row>
    <row r="5">
      <c r="A5" s="139"/>
      <c r="B5" s="49"/>
      <c r="C5" s="145" t="s">
        <v>189</v>
      </c>
      <c r="D5" s="146">
        <f>D3-D4</f>
        <v>8854872</v>
      </c>
      <c r="E5" s="147"/>
      <c r="F5" s="43"/>
      <c r="G5" s="43"/>
      <c r="H5" s="43"/>
      <c r="I5" s="43"/>
      <c r="J5" s="43"/>
      <c r="K5" s="43"/>
      <c r="L5" s="43"/>
      <c r="M5" s="43"/>
      <c r="N5" s="43"/>
      <c r="O5" s="43"/>
      <c r="P5" s="43"/>
      <c r="Q5" s="43"/>
      <c r="R5" s="43"/>
      <c r="S5" s="43"/>
      <c r="T5" s="43"/>
      <c r="U5" s="43"/>
      <c r="V5" s="43"/>
      <c r="W5" s="43"/>
      <c r="X5" s="43"/>
      <c r="Y5" s="43"/>
    </row>
    <row r="6">
      <c r="A6" s="139"/>
      <c r="B6" s="49"/>
      <c r="C6" s="145" t="s">
        <v>190</v>
      </c>
      <c r="D6" s="146">
        <f>D5/12</f>
        <v>737906</v>
      </c>
      <c r="E6" s="147"/>
      <c r="F6" s="43"/>
      <c r="G6" s="43"/>
      <c r="H6" s="43"/>
      <c r="I6" s="43"/>
      <c r="J6" s="43"/>
      <c r="K6" s="43"/>
      <c r="L6" s="43"/>
      <c r="M6" s="43"/>
      <c r="N6" s="43"/>
      <c r="O6" s="43"/>
      <c r="P6" s="43"/>
      <c r="Q6" s="43"/>
      <c r="R6" s="43"/>
      <c r="S6" s="43"/>
      <c r="T6" s="43"/>
      <c r="U6" s="43"/>
      <c r="V6" s="43"/>
      <c r="W6" s="43"/>
      <c r="X6" s="43"/>
      <c r="Y6" s="43"/>
    </row>
    <row r="7">
      <c r="A7" s="139"/>
      <c r="B7" s="49"/>
      <c r="C7" s="145" t="s">
        <v>191</v>
      </c>
      <c r="D7" s="75">
        <f>'Balance Sheet 2021'!E2+'Balance Sheet 2021'!E3</f>
        <v>10676904</v>
      </c>
      <c r="E7" s="147"/>
      <c r="F7" s="43"/>
      <c r="G7" s="43"/>
      <c r="H7" s="43"/>
      <c r="I7" s="43"/>
      <c r="J7" s="43"/>
      <c r="K7" s="43"/>
      <c r="L7" s="43"/>
      <c r="M7" s="43"/>
      <c r="N7" s="43"/>
      <c r="O7" s="43"/>
      <c r="P7" s="43"/>
      <c r="Q7" s="43"/>
      <c r="R7" s="43"/>
      <c r="S7" s="43"/>
      <c r="T7" s="43"/>
      <c r="U7" s="43"/>
      <c r="V7" s="43"/>
      <c r="W7" s="43"/>
      <c r="X7" s="43"/>
      <c r="Y7" s="43"/>
    </row>
    <row r="8">
      <c r="A8" s="139"/>
      <c r="B8" s="49"/>
      <c r="C8" s="148" t="s">
        <v>185</v>
      </c>
      <c r="D8" s="149">
        <f>D7/D6</f>
        <v>14.46919255</v>
      </c>
      <c r="E8" s="150" t="s">
        <v>192</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193</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194</v>
      </c>
      <c r="C11" s="145" t="s">
        <v>195</v>
      </c>
      <c r="D11" s="75">
        <f>'Balance Sheet 2021'!E30</f>
        <v>100561085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196</v>
      </c>
      <c r="D12" s="75">
        <f>'Expenses 2021'!C40</f>
        <v>8877055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197</v>
      </c>
      <c r="D13" s="146">
        <f>D12/12</f>
        <v>739754.5833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193</v>
      </c>
      <c r="D14" s="149">
        <f>D11/D13</f>
        <v>135.9384413</v>
      </c>
      <c r="E14" s="150" t="s">
        <v>192</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198</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199</v>
      </c>
      <c r="C17" s="145" t="s">
        <v>200</v>
      </c>
      <c r="D17" s="75">
        <f>sum('Balance Sheet 2021'!E13:E15)</f>
        <v>190358914</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196</v>
      </c>
      <c r="D18" s="75">
        <f>'Expenses 2021'!C40</f>
        <v>8877055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197</v>
      </c>
      <c r="D19" s="146">
        <f>D18/12</f>
        <v>739754.5833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201</v>
      </c>
      <c r="D20" s="149">
        <f>D17/D19</f>
        <v>257.3271167</v>
      </c>
      <c r="E20" s="150" t="s">
        <v>192</v>
      </c>
      <c r="F20" s="43"/>
      <c r="G20" s="43"/>
      <c r="H20" s="43"/>
      <c r="I20" s="43"/>
      <c r="J20" s="43"/>
      <c r="K20" s="43"/>
      <c r="L20" s="43"/>
      <c r="M20" s="43"/>
      <c r="N20" s="43"/>
      <c r="O20" s="43"/>
      <c r="P20" s="43"/>
      <c r="Q20" s="43"/>
      <c r="R20" s="43"/>
      <c r="S20" s="43"/>
      <c r="T20" s="43"/>
      <c r="U20" s="43"/>
      <c r="V20" s="43"/>
      <c r="W20" s="43"/>
      <c r="X20" s="43"/>
      <c r="Y20" s="43"/>
    </row>
    <row r="21">
      <c r="A21" s="139"/>
      <c r="B21" s="49"/>
      <c r="C21" s="154" t="s">
        <v>202</v>
      </c>
      <c r="D21" s="155">
        <f>D20+D8</f>
        <v>271.7963093</v>
      </c>
      <c r="E21" s="156" t="s">
        <v>192</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203</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204</v>
      </c>
      <c r="C24" s="160"/>
      <c r="D24" s="161">
        <f>max('Revenues 2021'!E2:E7,'Revenues 2021'!F10:F15)</f>
        <v>12567187</v>
      </c>
      <c r="E24" s="162" t="s">
        <v>205</v>
      </c>
      <c r="F24" s="43"/>
      <c r="G24" s="43"/>
      <c r="H24" s="43"/>
      <c r="I24" s="43"/>
      <c r="J24" s="43"/>
      <c r="K24" s="43"/>
      <c r="L24" s="43"/>
      <c r="M24" s="43"/>
      <c r="N24" s="43"/>
      <c r="O24" s="43"/>
      <c r="P24" s="43"/>
      <c r="Q24" s="43"/>
      <c r="R24" s="43"/>
      <c r="S24" s="43"/>
      <c r="T24" s="43"/>
      <c r="U24" s="43"/>
      <c r="V24" s="43"/>
      <c r="W24" s="43"/>
      <c r="X24" s="43"/>
      <c r="Y24" s="43"/>
    </row>
    <row r="25">
      <c r="A25" s="139"/>
      <c r="B25" s="49"/>
      <c r="C25" s="145" t="s">
        <v>206</v>
      </c>
      <c r="D25" s="146">
        <f>'Revenues 2021'!F44</f>
        <v>19170053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203</v>
      </c>
      <c r="D26" s="163">
        <f>D24/D25</f>
        <v>0.6555634979</v>
      </c>
      <c r="E26" s="150" t="s">
        <v>207</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208</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209</v>
      </c>
      <c r="C29" s="145" t="s">
        <v>210</v>
      </c>
      <c r="D29" s="75">
        <f>SUM('Expenses 2021'!C7:C9)</f>
        <v>2510095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211</v>
      </c>
      <c r="D30" s="75">
        <f>SUM('Expenses 2021'!C10:C12)</f>
        <v>603505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212</v>
      </c>
      <c r="D31" s="75">
        <f>sum(D29:D30)</f>
        <v>3113600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187</v>
      </c>
      <c r="D32" s="75">
        <f>'Expenses 2021'!C40</f>
        <v>8877055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213</v>
      </c>
      <c r="D33" s="163">
        <f>D31/D32</f>
        <v>0.3507469538</v>
      </c>
      <c r="E33" s="150" t="s">
        <v>214</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215</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216</v>
      </c>
      <c r="C36" s="145" t="s">
        <v>217</v>
      </c>
      <c r="D36" s="75">
        <f>SUM('Expenses 2021'!C10:C11)</f>
        <v>427011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210</v>
      </c>
      <c r="D37" s="75">
        <f>SUM('Expenses 2021'!C7:C9)</f>
        <v>2510095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215</v>
      </c>
      <c r="D38" s="163">
        <f>D36/D37</f>
        <v>0.1701174657</v>
      </c>
      <c r="E38" s="150" t="s">
        <v>218</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219</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220</v>
      </c>
      <c r="C41" s="148" t="s">
        <v>221</v>
      </c>
      <c r="D41" s="75">
        <f>'Expenses 2021'!D40</f>
        <v>6782278</v>
      </c>
      <c r="E41" s="165">
        <f t="shared" ref="E41:E44" si="1">D41/$D$44</f>
        <v>0.7640234289</v>
      </c>
      <c r="F41" s="43"/>
      <c r="G41" s="43"/>
      <c r="H41" s="43"/>
      <c r="I41" s="43"/>
      <c r="J41" s="43"/>
      <c r="K41" s="43"/>
      <c r="L41" s="43"/>
      <c r="M41" s="43"/>
      <c r="N41" s="43"/>
      <c r="O41" s="43"/>
      <c r="P41" s="43"/>
      <c r="Q41" s="43"/>
      <c r="R41" s="43"/>
      <c r="S41" s="43"/>
      <c r="T41" s="43"/>
      <c r="U41" s="43"/>
      <c r="V41" s="43"/>
      <c r="W41" s="43"/>
      <c r="X41" s="43"/>
      <c r="Y41" s="43"/>
    </row>
    <row r="42">
      <c r="A42" s="139"/>
      <c r="B42" s="49"/>
      <c r="C42" s="148" t="s">
        <v>222</v>
      </c>
      <c r="D42" s="146">
        <f>'Expenses 2021'!E40</f>
        <v>2094777</v>
      </c>
      <c r="E42" s="165">
        <f t="shared" si="1"/>
        <v>0.2359765711</v>
      </c>
      <c r="F42" s="43"/>
      <c r="G42" s="43"/>
      <c r="H42" s="43"/>
      <c r="I42" s="43"/>
      <c r="J42" s="43"/>
      <c r="K42" s="43"/>
      <c r="L42" s="43"/>
      <c r="M42" s="43"/>
      <c r="N42" s="43"/>
      <c r="O42" s="43"/>
      <c r="P42" s="43"/>
      <c r="Q42" s="43"/>
      <c r="R42" s="43"/>
      <c r="S42" s="43"/>
      <c r="T42" s="43"/>
      <c r="U42" s="43"/>
      <c r="V42" s="43"/>
      <c r="W42" s="43"/>
      <c r="X42" s="43"/>
      <c r="Y42" s="43"/>
    </row>
    <row r="43">
      <c r="A43" s="139"/>
      <c r="B43" s="49"/>
      <c r="C43" s="148" t="s">
        <v>223</v>
      </c>
      <c r="D43" s="146">
        <f>'Expenses 2021'!F40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187</v>
      </c>
      <c r="D44" s="146">
        <f>sum(D41:D43)</f>
        <v>8877055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224</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225</v>
      </c>
      <c r="C47" s="145" t="s">
        <v>226</v>
      </c>
      <c r="D47" s="146">
        <f>'Revenues 2021'!F9</f>
        <v>12567187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227</v>
      </c>
      <c r="D48" s="146">
        <f>'Expenses 2021'!F40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228</v>
      </c>
      <c r="D49" s="166" t="str">
        <f>if(D48=0, "$0",D47/D48)</f>
        <v>$0</v>
      </c>
      <c r="E49" s="150" t="s">
        <v>229</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230</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231</v>
      </c>
      <c r="C52" s="145" t="s">
        <v>232</v>
      </c>
      <c r="D52" s="146">
        <f>sum('Balance Sheet 2021'!E2:E10)</f>
        <v>13910509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233</v>
      </c>
      <c r="D53" s="146">
        <f>sum('Balance Sheet 2021'!E19:E22)</f>
        <v>1712060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234</v>
      </c>
      <c r="D54" s="168">
        <f>D52/D53</f>
        <v>8.125012558</v>
      </c>
      <c r="E54" s="150" t="s">
        <v>235</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236</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237</v>
      </c>
      <c r="C57" s="145" t="s">
        <v>238</v>
      </c>
      <c r="D57" s="146">
        <f>sum('Balance Sheet 2021'!E25:E26)</f>
        <v>86072060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239</v>
      </c>
      <c r="D58" s="146">
        <f>'Balance Sheet 2021'!E18</f>
        <v>209115546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240</v>
      </c>
      <c r="D59" s="169">
        <f>D57/D58</f>
        <v>0.4116004843</v>
      </c>
      <c r="E59" s="150" t="s">
        <v>241</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GREATER MINNESOTA HOUSING FUND</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1.2E7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2314340.0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14314340</v>
      </c>
      <c r="G9" s="58"/>
      <c r="H9" s="58"/>
      <c r="I9" s="58"/>
      <c r="J9" s="58"/>
      <c r="K9" s="58"/>
      <c r="L9" s="58"/>
      <c r="M9" s="58"/>
      <c r="N9" s="58"/>
      <c r="O9" s="58"/>
      <c r="P9" s="58"/>
      <c r="Q9" s="58"/>
      <c r="R9" s="58"/>
      <c r="S9" s="58"/>
      <c r="T9" s="58"/>
      <c r="U9" s="58"/>
      <c r="V9" s="58"/>
      <c r="W9" s="58"/>
      <c r="X9" s="58"/>
      <c r="Y9" s="58"/>
      <c r="Z9" s="58"/>
    </row>
    <row r="10">
      <c r="A10" s="44" t="s">
        <v>62</v>
      </c>
      <c r="B10" s="59" t="s">
        <v>63</v>
      </c>
      <c r="C10" s="60" t="s">
        <v>242</v>
      </c>
      <c r="D10" s="15"/>
      <c r="E10" s="15"/>
      <c r="F10" s="48">
        <v>5388749.0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243</v>
      </c>
      <c r="D11" s="61"/>
      <c r="E11" s="61"/>
      <c r="F11" s="62">
        <v>1528434.0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244</v>
      </c>
      <c r="D12" s="61"/>
      <c r="E12" s="61"/>
      <c r="F12" s="62">
        <v>1066949.0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t="s">
        <v>245</v>
      </c>
      <c r="D13" s="61"/>
      <c r="E13" s="61"/>
      <c r="F13" s="62">
        <v>704930.0</v>
      </c>
      <c r="G13" s="172"/>
      <c r="H13" s="43"/>
      <c r="J13" s="172"/>
      <c r="K13" s="43"/>
      <c r="L13" s="43"/>
      <c r="M13" s="43"/>
      <c r="N13" s="43"/>
      <c r="O13" s="43"/>
      <c r="P13" s="43"/>
      <c r="Q13" s="43"/>
      <c r="R13" s="43"/>
      <c r="S13" s="43"/>
      <c r="T13" s="43"/>
      <c r="U13" s="43"/>
      <c r="V13" s="43"/>
      <c r="W13" s="43"/>
      <c r="X13" s="43"/>
      <c r="Y13" s="43"/>
      <c r="Z13" s="43"/>
    </row>
    <row r="14">
      <c r="A14" s="49"/>
      <c r="B14" s="45" t="s">
        <v>54</v>
      </c>
      <c r="C14" s="174" t="s">
        <v>65</v>
      </c>
      <c r="D14" s="61"/>
      <c r="E14" s="61"/>
      <c r="F14" s="62">
        <v>415280.0</v>
      </c>
      <c r="G14" s="172"/>
      <c r="H14" s="43"/>
      <c r="J14" s="172"/>
      <c r="K14" s="43"/>
      <c r="L14" s="43"/>
      <c r="M14" s="43"/>
      <c r="N14" s="43"/>
      <c r="O14" s="43"/>
      <c r="P14" s="43"/>
      <c r="Q14" s="43"/>
      <c r="R14" s="43"/>
      <c r="S14" s="43"/>
      <c r="T14" s="43"/>
      <c r="U14" s="43"/>
      <c r="V14" s="43"/>
      <c r="W14" s="43"/>
      <c r="X14" s="43"/>
      <c r="Y14" s="43"/>
      <c r="Z14" s="43"/>
    </row>
    <row r="15">
      <c r="A15" s="52"/>
      <c r="B15" s="45" t="s">
        <v>56</v>
      </c>
      <c r="C15" s="174" t="s">
        <v>68</v>
      </c>
      <c r="D15" s="61"/>
      <c r="E15" s="61"/>
      <c r="F15" s="62">
        <v>273658.0</v>
      </c>
      <c r="G15" s="43"/>
      <c r="H15" s="43"/>
      <c r="J15" s="172"/>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9378000</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1258784.0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246</v>
      </c>
      <c r="D26" s="50">
        <v>7.5955522E7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7.5863534E7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91988</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91988</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100</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25043112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GREATER MINNESOTA HOUSING FUND</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1411700</v>
      </c>
      <c r="D3" s="99">
        <v>1411700.0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1022801</v>
      </c>
      <c r="D7" s="99">
        <v>656430.0</v>
      </c>
      <c r="E7" s="99">
        <v>366371.0</v>
      </c>
      <c r="F7" s="99">
        <v>0.0</v>
      </c>
      <c r="G7" s="43"/>
      <c r="H7" s="43"/>
      <c r="I7" s="43"/>
      <c r="J7" s="43"/>
      <c r="K7" s="43"/>
      <c r="L7" s="43"/>
      <c r="M7" s="43"/>
      <c r="N7" s="43"/>
      <c r="O7" s="43"/>
      <c r="P7" s="43"/>
      <c r="Q7" s="43"/>
      <c r="R7" s="43"/>
      <c r="S7" s="43"/>
      <c r="T7" s="43"/>
      <c r="U7" s="43"/>
      <c r="V7" s="43"/>
      <c r="W7" s="43"/>
      <c r="X7" s="43"/>
      <c r="Y7" s="43"/>
      <c r="Z7" s="43"/>
    </row>
    <row r="8">
      <c r="A8" s="80">
        <v>6.0</v>
      </c>
      <c r="B8" s="96" t="s">
        <v>113</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114</v>
      </c>
      <c r="C9" s="98">
        <f t="shared" si="1"/>
        <v>2243153</v>
      </c>
      <c r="D9" s="99">
        <v>1657956.0</v>
      </c>
      <c r="E9" s="99">
        <v>585197.0</v>
      </c>
      <c r="F9" s="99">
        <v>0.0</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155765</v>
      </c>
      <c r="D10" s="99">
        <v>127993.0</v>
      </c>
      <c r="E10" s="99">
        <v>27772.0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482620</v>
      </c>
      <c r="D11" s="99">
        <v>339975.0</v>
      </c>
      <c r="E11" s="99">
        <v>142645.0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218509</v>
      </c>
      <c r="D12" s="99">
        <v>155716.0</v>
      </c>
      <c r="E12" s="99">
        <v>62793.0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59833</v>
      </c>
      <c r="D15" s="99">
        <v>59833.0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91733</v>
      </c>
      <c r="D16" s="99">
        <v>0.0</v>
      </c>
      <c r="E16" s="99">
        <v>91733.0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26500</v>
      </c>
      <c r="D17" s="99">
        <v>0.0</v>
      </c>
      <c r="E17" s="99">
        <v>26500.0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60172</v>
      </c>
      <c r="D19" s="99">
        <v>0.0</v>
      </c>
      <c r="E19" s="99">
        <v>60172.0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1998178</v>
      </c>
      <c r="D20" s="99">
        <v>1406452.0</v>
      </c>
      <c r="E20" s="99">
        <v>591726.0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17686</v>
      </c>
      <c r="D22" s="99">
        <v>12604.0</v>
      </c>
      <c r="E22" s="99">
        <v>5082.0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293559</v>
      </c>
      <c r="D25" s="99">
        <v>209199.0</v>
      </c>
      <c r="E25" s="99">
        <v>84360.0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21971</v>
      </c>
      <c r="D26" s="99">
        <v>15657.0</v>
      </c>
      <c r="E26" s="99">
        <v>6314.0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56869</v>
      </c>
      <c r="D28" s="99">
        <v>22993.0</v>
      </c>
      <c r="E28" s="99">
        <v>33876.0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2325131</v>
      </c>
      <c r="D29" s="99">
        <v>2325131.0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18434</v>
      </c>
      <c r="D31" s="99">
        <v>13137.0</v>
      </c>
      <c r="E31" s="99">
        <v>5297.0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108175</v>
      </c>
      <c r="D32" s="99">
        <v>77089.0</v>
      </c>
      <c r="E32" s="99">
        <v>31086.0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60" t="s">
        <v>247</v>
      </c>
      <c r="C34" s="98">
        <f t="shared" si="1"/>
        <v>1778058</v>
      </c>
      <c r="D34" s="99">
        <v>1778058.0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141</v>
      </c>
      <c r="C35" s="98">
        <f t="shared" si="1"/>
        <v>45122</v>
      </c>
      <c r="D35" s="99">
        <v>45122.0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140</v>
      </c>
      <c r="C36" s="98">
        <f t="shared" si="1"/>
        <v>4326</v>
      </c>
      <c r="D36" s="99">
        <v>3083.0</v>
      </c>
      <c r="E36" s="99">
        <v>1243.0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4">
        <f t="shared" ref="C40:F40" si="2">sum(C3:C39)</f>
        <v>12440295</v>
      </c>
      <c r="D40" s="104">
        <f t="shared" si="2"/>
        <v>10318128</v>
      </c>
      <c r="E40" s="104">
        <f t="shared" si="2"/>
        <v>2122167</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GREATER MINNESOTA HOUSING FUND</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144</v>
      </c>
      <c r="B2" s="45">
        <v>1.0</v>
      </c>
      <c r="C2" s="46" t="s">
        <v>145</v>
      </c>
      <c r="D2" s="111"/>
      <c r="E2" s="112">
        <v>998673.0</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3"/>
      <c r="E3" s="112">
        <v>1.1836996E7</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1"/>
      <c r="E4" s="112">
        <v>250000.0</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1"/>
      <c r="E10" s="112">
        <v>134444.0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2">
        <v>511166.0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2">
        <v>464232.0</v>
      </c>
      <c r="E12" s="109">
        <f>D11-D12</f>
        <v>46934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3"/>
      <c r="E13" s="112">
        <v>4.1735429E7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3"/>
      <c r="E14" s="112">
        <v>760146.0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3"/>
      <c r="E15" s="112">
        <v>1.58393403E8</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3"/>
      <c r="E17" s="112">
        <v>3737022.0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4"/>
      <c r="E18" s="115">
        <f>sum(E2:E17)</f>
        <v>217893047</v>
      </c>
      <c r="F18" s="43"/>
      <c r="G18" s="43"/>
      <c r="H18" s="43"/>
      <c r="I18" s="43"/>
      <c r="J18" s="43"/>
      <c r="K18" s="43"/>
      <c r="L18" s="43"/>
      <c r="M18" s="43"/>
      <c r="N18" s="43"/>
      <c r="O18" s="43"/>
      <c r="P18" s="43"/>
      <c r="Q18" s="43"/>
      <c r="R18" s="43"/>
      <c r="S18" s="43"/>
      <c r="T18" s="43"/>
      <c r="U18" s="43"/>
      <c r="V18" s="43"/>
      <c r="W18" s="43"/>
      <c r="X18" s="43"/>
      <c r="Y18" s="43"/>
      <c r="Z18" s="43"/>
    </row>
    <row r="19">
      <c r="A19" s="44" t="s">
        <v>164</v>
      </c>
      <c r="B19" s="116">
        <v>17.0</v>
      </c>
      <c r="C19" s="117" t="s">
        <v>165</v>
      </c>
      <c r="D19" s="118"/>
      <c r="E19" s="112">
        <v>1408459.0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166</v>
      </c>
      <c r="D20" s="118"/>
      <c r="E20" s="112">
        <v>455868.0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167</v>
      </c>
      <c r="D21" s="118"/>
      <c r="E21" s="112">
        <v>148346.0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168</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169</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170</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171</v>
      </c>
      <c r="D25" s="122"/>
      <c r="E25" s="119">
        <v>9.0634599E7</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172</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173</v>
      </c>
      <c r="D27" s="118"/>
      <c r="E27" s="119">
        <v>1.0205782E7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174</v>
      </c>
      <c r="D28" s="126"/>
      <c r="E28" s="127">
        <f>sum(E19:E27)</f>
        <v>102853054</v>
      </c>
      <c r="F28" s="43"/>
      <c r="G28" s="43"/>
      <c r="H28" s="43"/>
      <c r="I28" s="43"/>
      <c r="J28" s="43"/>
      <c r="K28" s="43"/>
      <c r="L28" s="43"/>
      <c r="M28" s="43"/>
      <c r="N28" s="43"/>
      <c r="O28" s="43"/>
      <c r="P28" s="43"/>
      <c r="Q28" s="43"/>
      <c r="R28" s="43"/>
      <c r="S28" s="43"/>
      <c r="T28" s="43"/>
      <c r="U28" s="43"/>
      <c r="V28" s="43"/>
      <c r="W28" s="43"/>
      <c r="X28" s="43"/>
      <c r="Y28" s="43"/>
      <c r="Z28" s="43"/>
    </row>
    <row r="29">
      <c r="A29" s="65" t="s">
        <v>175</v>
      </c>
      <c r="B29" s="128"/>
      <c r="C29" s="129" t="s">
        <v>176</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177</v>
      </c>
      <c r="D30" s="118"/>
      <c r="E30" s="112">
        <v>1.09825857E8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178</v>
      </c>
      <c r="D31" s="118"/>
      <c r="E31" s="112">
        <v>5214136.0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179</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180</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181</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182</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183</v>
      </c>
      <c r="D36" s="132"/>
      <c r="E36" s="127">
        <f>sum(E30:E35)</f>
        <v>115039993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184</v>
      </c>
      <c r="D37" s="136"/>
      <c r="E37" s="137">
        <f>E36+E28</f>
        <v>217893047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