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1" sheetId="3" r:id="rId7"/>
    <sheet state="visible" name="Expenses 2021" sheetId="4" r:id="rId8"/>
    <sheet state="visible" name="Balance Sheet 2021" sheetId="5" r:id="rId9"/>
    <sheet state="visible" name="Ratios 2021" sheetId="6" r:id="rId10"/>
    <sheet state="visible" name="Revenues 2022" sheetId="7" r:id="rId11"/>
    <sheet state="visible" name="Expenses 2022" sheetId="8" r:id="rId12"/>
    <sheet state="visible" name="Balance Sheet 2022" sheetId="9" r:id="rId13"/>
    <sheet state="visible" name="Ratios 2022" sheetId="10" r:id="rId14"/>
    <sheet state="visible" name="Revenues 2023" sheetId="11" r:id="rId15"/>
    <sheet state="visible" name="Expenses 2023" sheetId="12" r:id="rId16"/>
    <sheet state="visible" name="Balance Sheet 2023" sheetId="13" r:id="rId17"/>
    <sheet state="visible" name="Ratios 2023" sheetId="14" r:id="rId18"/>
    <sheet state="visible" name="Multi-Year Ratios" sheetId="15" r:id="rId19"/>
  </sheets>
  <definedNames/>
  <calcPr/>
</workbook>
</file>

<file path=xl/sharedStrings.xml><?xml version="1.0" encoding="utf-8"?>
<sst xmlns="http://schemas.openxmlformats.org/spreadsheetml/2006/main" count="876" uniqueCount="251">
  <si>
    <t>THE DOOR</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</si>
  <si>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</si>
  <si>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</si>
  <si>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</si>
  <si>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</si>
  <si>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</si>
  <si>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</si>
  <si>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</si>
  <si>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</si>
  <si>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</si>
  <si>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</si>
  <si>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</si>
  <si>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</si>
  <si>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</si>
  <si>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</si>
  <si>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</si>
  <si>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</si>
  <si>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</si>
  <si>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</si>
  <si>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</si>
  <si>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</si>
  <si>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</si>
  <si>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</si>
  <si>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</si>
  <si>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</si>
  <si>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</si>
  <si>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</si>
  <si>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</si>
  <si>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</si>
  <si>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</si>
  <si>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</si>
  <si>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</si>
  <si>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</si>
  <si>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</si>
  <si>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</si>
  <si>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</si>
  <si>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</si>
  <si>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</si>
  <si>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</si>
  <si>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</si>
  <si>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</si>
  <si>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</si>
  <si>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</si>
  <si>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</si>
  <si>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</si>
  <si>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</si>
  <si>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</si>
  <si>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</si>
  <si>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</si>
  <si>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</si>
  <si>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</si>
  <si>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</si>
  <si>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</si>
  <si>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</si>
  <si>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</si>
  <si>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</si>
  <si>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</si>
  <si>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</si>
  <si>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</si>
  <si>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</si>
  <si>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</si>
  <si>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</si>
  <si>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</si>
  <si>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</si>
  <si>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MEDICAID &amp; INSURANCE INCOME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</si>
  <si>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</si>
  <si>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</si>
  <si>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</si>
  <si>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</si>
  <si>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</si>
  <si>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</si>
  <si>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</si>
  <si>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</si>
  <si>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</si>
  <si>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</si>
  <si>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</si>
  <si>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</si>
  <si>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</si>
  <si>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</si>
  <si>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</si>
  <si>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</si>
  <si>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</si>
  <si>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</si>
  <si>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</si>
  <si>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</si>
  <si>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</si>
  <si>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</si>
  <si>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</si>
  <si>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</si>
  <si>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</si>
  <si>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</si>
  <si>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</si>
  <si>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</si>
  <si>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</si>
  <si>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</si>
  <si>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</si>
  <si>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</si>
  <si>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BSA MANAGEMENT FEE</t>
  </si>
  <si>
    <t>CONDO MANAGEMENT FEE</t>
  </si>
  <si>
    <t>MISCELLANEOUS</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</si>
  <si>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</si>
  <si>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</si>
  <si>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</si>
  <si>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</si>
  <si>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</si>
  <si>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</si>
  <si>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</si>
  <si>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</si>
  <si>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</si>
  <si>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</si>
  <si>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</si>
  <si>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</si>
  <si>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</si>
  <si>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</si>
  <si>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</si>
  <si>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</si>
  <si>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</si>
  <si>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</si>
  <si>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</si>
  <si>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</si>
  <si>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</si>
  <si>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</si>
  <si>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</si>
  <si>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</si>
  <si>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</si>
  <si>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</si>
  <si>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</si>
  <si>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</si>
  <si>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</si>
  <si>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</si>
  <si>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</si>
  <si>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</si>
  <si>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</si>
  <si>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</si>
  <si>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</si>
  <si>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</si>
  <si>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</si>
  <si>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BAD DEBT</t>
  </si>
  <si>
    <t>YOUTH EVENTS</t>
  </si>
  <si>
    <t>STIPENDS &amp; INCENTIVES</t>
  </si>
  <si>
    <t>SETTLEMENT LOSS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</si>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</sst>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THE DOOR</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184</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185</v>
      </c>
      <c r="C3" s="145" t="s">
        <v>186</v>
      </c>
      <c r="D3" s="146">
        <f>'Expenses 2022'!C40</f>
        <v>33890273</v>
      </c>
      <c r="E3" s="147"/>
      <c r="F3" s="43"/>
      <c r="G3" s="43"/>
      <c r="H3" s="43"/>
      <c r="I3" s="43"/>
      <c r="J3" s="43"/>
      <c r="K3" s="43"/>
      <c r="L3" s="43"/>
      <c r="M3" s="43"/>
      <c r="N3" s="43"/>
      <c r="O3" s="43"/>
      <c r="P3" s="43"/>
      <c r="Q3" s="43"/>
      <c r="R3" s="43"/>
      <c r="S3" s="43"/>
      <c r="T3" s="43"/>
      <c r="U3" s="43"/>
      <c r="V3" s="43"/>
      <c r="W3" s="43"/>
      <c r="X3" s="43"/>
      <c r="Y3" s="43"/>
    </row>
    <row r="4">
      <c r="A4" s="139"/>
      <c r="B4" s="49"/>
      <c r="C4" s="145" t="s">
        <v>187</v>
      </c>
      <c r="D4" s="146">
        <f>'Expenses 2022'!C31</f>
        <v>1297773</v>
      </c>
      <c r="E4" s="147"/>
      <c r="F4" s="43"/>
      <c r="G4" s="43"/>
      <c r="H4" s="43"/>
      <c r="I4" s="43"/>
      <c r="J4" s="43"/>
      <c r="K4" s="43"/>
      <c r="L4" s="43"/>
      <c r="M4" s="43"/>
      <c r="N4" s="43"/>
      <c r="O4" s="43"/>
      <c r="P4" s="43"/>
      <c r="Q4" s="43"/>
      <c r="R4" s="43"/>
      <c r="S4" s="43"/>
      <c r="T4" s="43"/>
      <c r="U4" s="43"/>
      <c r="V4" s="43"/>
      <c r="W4" s="43"/>
      <c r="X4" s="43"/>
      <c r="Y4" s="43"/>
    </row>
    <row r="5">
      <c r="A5" s="139"/>
      <c r="B5" s="49"/>
      <c r="C5" s="145" t="s">
        <v>188</v>
      </c>
      <c r="D5" s="146">
        <f>D3-D4</f>
        <v>32592500</v>
      </c>
      <c r="E5" s="147"/>
      <c r="F5" s="43"/>
      <c r="G5" s="43"/>
      <c r="H5" s="43"/>
      <c r="I5" s="43"/>
      <c r="J5" s="43"/>
      <c r="K5" s="43"/>
      <c r="L5" s="43"/>
      <c r="M5" s="43"/>
      <c r="N5" s="43"/>
      <c r="O5" s="43"/>
      <c r="P5" s="43"/>
      <c r="Q5" s="43"/>
      <c r="R5" s="43"/>
      <c r="S5" s="43"/>
      <c r="T5" s="43"/>
      <c r="U5" s="43"/>
      <c r="V5" s="43"/>
      <c r="W5" s="43"/>
      <c r="X5" s="43"/>
      <c r="Y5" s="43"/>
    </row>
    <row r="6">
      <c r="A6" s="139"/>
      <c r="B6" s="49"/>
      <c r="C6" s="145" t="s">
        <v>189</v>
      </c>
      <c r="D6" s="146">
        <f>D5/12</f>
        <v>2716041.667</v>
      </c>
      <c r="E6" s="147"/>
      <c r="F6" s="43"/>
      <c r="G6" s="43"/>
      <c r="H6" s="43"/>
      <c r="I6" s="43"/>
      <c r="J6" s="43"/>
      <c r="K6" s="43"/>
      <c r="L6" s="43"/>
      <c r="M6" s="43"/>
      <c r="N6" s="43"/>
      <c r="O6" s="43"/>
      <c r="P6" s="43"/>
      <c r="Q6" s="43"/>
      <c r="R6" s="43"/>
      <c r="S6" s="43"/>
      <c r="T6" s="43"/>
      <c r="U6" s="43"/>
      <c r="V6" s="43"/>
      <c r="W6" s="43"/>
      <c r="X6" s="43"/>
      <c r="Y6" s="43"/>
    </row>
    <row r="7">
      <c r="A7" s="139"/>
      <c r="B7" s="49"/>
      <c r="C7" s="145" t="s">
        <v>190</v>
      </c>
      <c r="D7" s="75">
        <f>'Balance Sheet 2022'!E2+'Balance Sheet 2022'!E3</f>
        <v>1318053</v>
      </c>
      <c r="E7" s="147"/>
      <c r="F7" s="43"/>
      <c r="G7" s="43"/>
      <c r="H7" s="43"/>
      <c r="I7" s="43"/>
      <c r="J7" s="43"/>
      <c r="K7" s="43"/>
      <c r="L7" s="43"/>
      <c r="M7" s="43"/>
      <c r="N7" s="43"/>
      <c r="O7" s="43"/>
      <c r="P7" s="43"/>
      <c r="Q7" s="43"/>
      <c r="R7" s="43"/>
      <c r="S7" s="43"/>
      <c r="T7" s="43"/>
      <c r="U7" s="43"/>
      <c r="V7" s="43"/>
      <c r="W7" s="43"/>
      <c r="X7" s="43"/>
      <c r="Y7" s="43"/>
    </row>
    <row r="8">
      <c r="A8" s="139"/>
      <c r="B8" s="49"/>
      <c r="C8" s="148" t="s">
        <v>184</v>
      </c>
      <c r="D8" s="149">
        <f>D7/D6</f>
        <v>0.4852845286</v>
      </c>
      <c r="E8" s="150" t="s">
        <v>191</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192</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193</v>
      </c>
      <c r="C11" s="145" t="s">
        <v>194</v>
      </c>
      <c r="D11" s="75">
        <f>'Balance Sheet 2022'!E30</f>
        <v>37249323</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195</v>
      </c>
      <c r="D12" s="75">
        <f>'Expenses 2022'!C40</f>
        <v>33890273</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196</v>
      </c>
      <c r="D13" s="146">
        <f>D12/12</f>
        <v>2824189.417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192</v>
      </c>
      <c r="D14" s="149">
        <f>D11/D13</f>
        <v>13.18938552</v>
      </c>
      <c r="E14" s="150" t="s">
        <v>191</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197</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198</v>
      </c>
      <c r="C17" s="145" t="s">
        <v>199</v>
      </c>
      <c r="D17" s="75">
        <f>sum('Balance Sheet 2022'!E13:E15)</f>
        <v>22010506</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195</v>
      </c>
      <c r="D18" s="75">
        <f>'Expenses 2022'!C40</f>
        <v>33890273</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196</v>
      </c>
      <c r="D19" s="146">
        <f>D18/12</f>
        <v>2824189.417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200</v>
      </c>
      <c r="D20" s="149">
        <f>D17/D19</f>
        <v>7.793565782</v>
      </c>
      <c r="E20" s="150" t="s">
        <v>191</v>
      </c>
      <c r="F20" s="43"/>
      <c r="G20" s="43"/>
      <c r="H20" s="43"/>
      <c r="I20" s="43"/>
      <c r="J20" s="43"/>
      <c r="K20" s="43"/>
      <c r="L20" s="43"/>
      <c r="M20" s="43"/>
      <c r="N20" s="43"/>
      <c r="O20" s="43"/>
      <c r="P20" s="43"/>
      <c r="Q20" s="43"/>
      <c r="R20" s="43"/>
      <c r="S20" s="43"/>
      <c r="T20" s="43"/>
      <c r="U20" s="43"/>
      <c r="V20" s="43"/>
      <c r="W20" s="43"/>
      <c r="X20" s="43"/>
      <c r="Y20" s="43"/>
    </row>
    <row r="21">
      <c r="A21" s="139"/>
      <c r="B21" s="49"/>
      <c r="C21" s="154" t="s">
        <v>201</v>
      </c>
      <c r="D21" s="155">
        <f>D20+D8</f>
        <v>8.278850311</v>
      </c>
      <c r="E21" s="156" t="s">
        <v>191</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202</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203</v>
      </c>
      <c r="C24" s="160"/>
      <c r="D24" s="161">
        <f>max('Revenues 2022'!E2:E7,'Revenues 2022'!F10:F15)</f>
        <v>17532236</v>
      </c>
      <c r="E24" s="162" t="s">
        <v>204</v>
      </c>
      <c r="F24" s="43"/>
      <c r="G24" s="43"/>
      <c r="H24" s="43"/>
      <c r="I24" s="43"/>
      <c r="J24" s="43"/>
      <c r="K24" s="43"/>
      <c r="L24" s="43"/>
      <c r="M24" s="43"/>
      <c r="N24" s="43"/>
      <c r="O24" s="43"/>
      <c r="P24" s="43"/>
      <c r="Q24" s="43"/>
      <c r="R24" s="43"/>
      <c r="S24" s="43"/>
      <c r="T24" s="43"/>
      <c r="U24" s="43"/>
      <c r="V24" s="43"/>
      <c r="W24" s="43"/>
      <c r="X24" s="43"/>
      <c r="Y24" s="43"/>
    </row>
    <row r="25">
      <c r="A25" s="139"/>
      <c r="B25" s="49"/>
      <c r="C25" s="145" t="s">
        <v>205</v>
      </c>
      <c r="D25" s="146">
        <f>'Revenues 2022'!F44</f>
        <v>29186860</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202</v>
      </c>
      <c r="D26" s="163">
        <f>D24/D25</f>
        <v>0.6006893513</v>
      </c>
      <c r="E26" s="150" t="s">
        <v>206</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207</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208</v>
      </c>
      <c r="C29" s="145" t="s">
        <v>209</v>
      </c>
      <c r="D29" s="75">
        <f>SUM('Expenses 2022'!C7:C9)</f>
        <v>17238040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210</v>
      </c>
      <c r="D30" s="75">
        <f>SUM('Expenses 2022'!C10:C12)</f>
        <v>5835606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211</v>
      </c>
      <c r="D31" s="75">
        <f>sum(D29:D30)</f>
        <v>23073646</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186</v>
      </c>
      <c r="D32" s="75">
        <f>'Expenses 2022'!C40</f>
        <v>33890273</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212</v>
      </c>
      <c r="D33" s="163">
        <f>D31/D32</f>
        <v>0.6808338782</v>
      </c>
      <c r="E33" s="150" t="s">
        <v>213</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214</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215</v>
      </c>
      <c r="C36" s="145" t="s">
        <v>216</v>
      </c>
      <c r="D36" s="75">
        <f>SUM('Expenses 2022'!C10:C11)</f>
        <v>4561836</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209</v>
      </c>
      <c r="D37" s="75">
        <f>SUM('Expenses 2022'!C7:C9)</f>
        <v>17238040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214</v>
      </c>
      <c r="D38" s="163">
        <f>D36/D37</f>
        <v>0.264637743</v>
      </c>
      <c r="E38" s="150" t="s">
        <v>217</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218</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219</v>
      </c>
      <c r="C41" s="148" t="s">
        <v>242</v>
      </c>
      <c r="D41" s="75">
        <f>'Expenses 2022'!D40</f>
        <v>23884558</v>
      </c>
      <c r="E41" s="165">
        <f t="shared" ref="E41:E44" si="1">D41/$D$44</f>
        <v>0.7047614518</v>
      </c>
      <c r="F41" s="43"/>
      <c r="G41" s="43"/>
      <c r="H41" s="43"/>
      <c r="I41" s="43"/>
      <c r="J41" s="43"/>
      <c r="K41" s="43"/>
      <c r="L41" s="43"/>
      <c r="M41" s="43"/>
      <c r="N41" s="43"/>
      <c r="O41" s="43"/>
      <c r="P41" s="43"/>
      <c r="Q41" s="43"/>
      <c r="R41" s="43"/>
      <c r="S41" s="43"/>
      <c r="T41" s="43"/>
      <c r="U41" s="43"/>
      <c r="V41" s="43"/>
      <c r="W41" s="43"/>
      <c r="X41" s="43"/>
      <c r="Y41" s="43"/>
    </row>
    <row r="42">
      <c r="A42" s="139"/>
      <c r="B42" s="49"/>
      <c r="C42" s="148" t="s">
        <v>221</v>
      </c>
      <c r="D42" s="146">
        <f>'Expenses 2022'!E40</f>
        <v>8478570</v>
      </c>
      <c r="E42" s="165">
        <f t="shared" si="1"/>
        <v>0.2501770936</v>
      </c>
      <c r="F42" s="43"/>
      <c r="G42" s="43"/>
      <c r="H42" s="43"/>
      <c r="I42" s="43"/>
      <c r="J42" s="43"/>
      <c r="K42" s="43"/>
      <c r="L42" s="43"/>
      <c r="M42" s="43"/>
      <c r="N42" s="43"/>
      <c r="O42" s="43"/>
      <c r="P42" s="43"/>
      <c r="Q42" s="43"/>
      <c r="R42" s="43"/>
      <c r="S42" s="43"/>
      <c r="T42" s="43"/>
      <c r="U42" s="43"/>
      <c r="V42" s="43"/>
      <c r="W42" s="43"/>
      <c r="X42" s="43"/>
      <c r="Y42" s="43"/>
    </row>
    <row r="43">
      <c r="A43" s="139"/>
      <c r="B43" s="49"/>
      <c r="C43" s="148" t="s">
        <v>222</v>
      </c>
      <c r="D43" s="146">
        <f>'Expenses 2022'!F40</f>
        <v>1527145</v>
      </c>
      <c r="E43" s="165">
        <f t="shared" si="1"/>
        <v>0.04506145465</v>
      </c>
      <c r="F43" s="43"/>
      <c r="G43" s="43"/>
      <c r="H43" s="43"/>
      <c r="I43" s="43"/>
      <c r="J43" s="43"/>
      <c r="K43" s="43"/>
      <c r="L43" s="43"/>
      <c r="M43" s="43"/>
      <c r="N43" s="43"/>
      <c r="O43" s="43"/>
      <c r="P43" s="43"/>
      <c r="Q43" s="43"/>
      <c r="R43" s="43"/>
      <c r="S43" s="43"/>
      <c r="T43" s="43"/>
      <c r="U43" s="43"/>
      <c r="V43" s="43"/>
      <c r="W43" s="43"/>
      <c r="X43" s="43"/>
      <c r="Y43" s="43"/>
    </row>
    <row r="44">
      <c r="A44" s="139"/>
      <c r="B44" s="49"/>
      <c r="C44" s="145" t="s">
        <v>186</v>
      </c>
      <c r="D44" s="146">
        <f>sum(D41:D43)</f>
        <v>33890273</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223</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224</v>
      </c>
      <c r="C47" s="145" t="s">
        <v>225</v>
      </c>
      <c r="D47" s="146">
        <f>'Revenues 2022'!F9</f>
        <v>25005340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226</v>
      </c>
      <c r="D48" s="146">
        <f>'Expenses 2022'!F40</f>
        <v>1527145</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227</v>
      </c>
      <c r="D49" s="166">
        <f>if(D48=0, "$0",D47/D48)</f>
        <v>16.37391341</v>
      </c>
      <c r="E49" s="150" t="s">
        <v>228</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229</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230</v>
      </c>
      <c r="C52" s="145" t="s">
        <v>231</v>
      </c>
      <c r="D52" s="146">
        <f>sum('Balance Sheet 2022'!E2:E10)</f>
        <v>11363460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232</v>
      </c>
      <c r="D53" s="146">
        <f>sum('Balance Sheet 2022'!E19:E22)</f>
        <v>3382611</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233</v>
      </c>
      <c r="D54" s="168">
        <f>D52/D53</f>
        <v>3.359375346</v>
      </c>
      <c r="E54" s="150" t="s">
        <v>234</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235</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236</v>
      </c>
      <c r="C57" s="145" t="s">
        <v>237</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238</v>
      </c>
      <c r="D58" s="146">
        <f>'Balance Sheet 2022'!E18</f>
        <v>50813855</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239</v>
      </c>
      <c r="D59" s="169">
        <f>D57/D58</f>
        <v>0</v>
      </c>
      <c r="E59" s="150" t="s">
        <v>240</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THE DOOR</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1273080.0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1.8451831E7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1.5216808E7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2645126.0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34941719</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1878392.0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1878392</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416276.0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885553.0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474684.0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410869</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410869</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243</v>
      </c>
      <c r="D26" s="50">
        <v>4508404.0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4042266.0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466138</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466138</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32250.0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335723.0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-303473</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97</v>
      </c>
      <c r="D39" s="74"/>
      <c r="E39" s="48">
        <v>753964.0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98</v>
      </c>
      <c r="D40" s="74"/>
      <c r="E40" s="48">
        <v>192000.0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99</v>
      </c>
      <c r="D41" s="74"/>
      <c r="E41" s="48">
        <v>45965.0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100</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991929</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38801850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THE DOOR</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1018617</v>
      </c>
      <c r="D7" s="99">
        <v>467130.0</v>
      </c>
      <c r="E7" s="99">
        <v>551487.0</v>
      </c>
      <c r="F7" s="99">
        <v>0.0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17073393</v>
      </c>
      <c r="D9" s="99">
        <v>1.3339874E7</v>
      </c>
      <c r="E9" s="99">
        <v>2639850.0</v>
      </c>
      <c r="F9" s="99">
        <v>1093669.0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536110</v>
      </c>
      <c r="D10" s="99">
        <v>421292.0</v>
      </c>
      <c r="E10" s="99">
        <v>77911.0</v>
      </c>
      <c r="F10" s="99">
        <v>36907.0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4457968</v>
      </c>
      <c r="D11" s="99">
        <v>3433029.0</v>
      </c>
      <c r="E11" s="99">
        <v>750334.0</v>
      </c>
      <c r="F11" s="99">
        <v>274605.0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1325317</v>
      </c>
      <c r="D12" s="99">
        <v>1021230.0</v>
      </c>
      <c r="E12" s="99">
        <v>222835.0</v>
      </c>
      <c r="F12" s="99">
        <v>81252.0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108106</v>
      </c>
      <c r="D15" s="99">
        <v>0.0</v>
      </c>
      <c r="E15" s="99">
        <v>108106.0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1592832</v>
      </c>
      <c r="D16" s="99">
        <v>0.0</v>
      </c>
      <c r="E16" s="99">
        <v>1592832.0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113325</v>
      </c>
      <c r="D19" s="99">
        <v>0.0</v>
      </c>
      <c r="E19" s="99">
        <v>113325.0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2603789</v>
      </c>
      <c r="D20" s="99">
        <v>1618515.0</v>
      </c>
      <c r="E20" s="99">
        <v>888127.0</v>
      </c>
      <c r="F20" s="99">
        <v>97147.0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94497</v>
      </c>
      <c r="D21" s="99">
        <v>34618.0</v>
      </c>
      <c r="E21" s="99">
        <v>57801.0</v>
      </c>
      <c r="F21" s="99">
        <v>2078.0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1453912</v>
      </c>
      <c r="D22" s="99">
        <v>1148776.0</v>
      </c>
      <c r="E22" s="99">
        <v>237669.0</v>
      </c>
      <c r="F22" s="99">
        <v>67467.0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472263</v>
      </c>
      <c r="D23" s="99">
        <v>211437.0</v>
      </c>
      <c r="E23" s="99">
        <v>235671.0</v>
      </c>
      <c r="F23" s="99">
        <v>25155.0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1195595</v>
      </c>
      <c r="D25" s="99">
        <v>1113236.0</v>
      </c>
      <c r="E25" s="99">
        <v>0.0</v>
      </c>
      <c r="F25" s="99">
        <v>82359.0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54235</v>
      </c>
      <c r="D26" s="99">
        <v>35986.0</v>
      </c>
      <c r="E26" s="99">
        <v>17891.0</v>
      </c>
      <c r="F26" s="99">
        <v>358.0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137086</v>
      </c>
      <c r="D28" s="99">
        <v>57561.0</v>
      </c>
      <c r="E28" s="99">
        <v>78135.0</v>
      </c>
      <c r="F28" s="99">
        <v>1390.0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1282642</v>
      </c>
      <c r="D31" s="99">
        <v>0.0</v>
      </c>
      <c r="E31" s="99">
        <v>1282642.0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215156</v>
      </c>
      <c r="D32" s="99">
        <v>173795.0</v>
      </c>
      <c r="E32" s="99">
        <v>17606.0</v>
      </c>
      <c r="F32" s="99">
        <v>23755.0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60" t="s">
        <v>138</v>
      </c>
      <c r="C34" s="98">
        <f t="shared" si="1"/>
        <v>393933</v>
      </c>
      <c r="D34" s="99">
        <v>391617.0</v>
      </c>
      <c r="E34" s="99">
        <v>2316.0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139</v>
      </c>
      <c r="C35" s="98">
        <f t="shared" si="1"/>
        <v>192076</v>
      </c>
      <c r="D35" s="99">
        <v>181616.0</v>
      </c>
      <c r="E35" s="99">
        <v>10460.0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4">
        <f t="shared" ref="C40:F40" si="2">sum(C3:C39)</f>
        <v>34320852</v>
      </c>
      <c r="D40" s="104">
        <f t="shared" si="2"/>
        <v>23649712</v>
      </c>
      <c r="E40" s="104">
        <f t="shared" si="2"/>
        <v>8884998</v>
      </c>
      <c r="F40" s="104">
        <f t="shared" si="2"/>
        <v>1786142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THE DOOR</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143</v>
      </c>
      <c r="B2" s="45">
        <v>1.0</v>
      </c>
      <c r="C2" s="46" t="s">
        <v>144</v>
      </c>
      <c r="D2" s="111"/>
      <c r="E2" s="112">
        <v>397302.0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3"/>
      <c r="E3" s="112">
        <v>33464.0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1"/>
      <c r="E4" s="112">
        <v>1.6184707E7</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3"/>
      <c r="E5" s="112">
        <v>350346.0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3"/>
      <c r="E9" s="112">
        <v>35554.0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1"/>
      <c r="E10" s="112">
        <v>176429.0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2">
        <v>3.3137011E7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2">
        <v>2.1055053E7</v>
      </c>
      <c r="E12" s="109">
        <f>D11-D12</f>
        <v>12081958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3"/>
      <c r="E13" s="112">
        <v>6244208.0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3"/>
      <c r="E14" s="112">
        <v>1.6277998E7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3"/>
      <c r="E17" s="112">
        <v>5362593.0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4"/>
      <c r="E18" s="115">
        <f>sum(E2:E17)</f>
        <v>57144559</v>
      </c>
      <c r="F18" s="43"/>
      <c r="G18" s="43"/>
      <c r="H18" s="43"/>
      <c r="I18" s="43"/>
      <c r="J18" s="43"/>
      <c r="K18" s="43"/>
      <c r="L18" s="43"/>
      <c r="M18" s="43"/>
      <c r="N18" s="43"/>
      <c r="O18" s="43"/>
      <c r="P18" s="43"/>
      <c r="Q18" s="43"/>
      <c r="R18" s="43"/>
      <c r="S18" s="43"/>
      <c r="T18" s="43"/>
      <c r="U18" s="43"/>
      <c r="V18" s="43"/>
      <c r="W18" s="43"/>
      <c r="X18" s="43"/>
      <c r="Y18" s="43"/>
      <c r="Z18" s="43"/>
    </row>
    <row r="19">
      <c r="A19" s="44" t="s">
        <v>163</v>
      </c>
      <c r="B19" s="116">
        <v>17.0</v>
      </c>
      <c r="C19" s="117" t="s">
        <v>164</v>
      </c>
      <c r="D19" s="118"/>
      <c r="E19" s="112">
        <v>3857770.0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165</v>
      </c>
      <c r="D20" s="118"/>
      <c r="E20" s="112">
        <v>457159.0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166</v>
      </c>
      <c r="D21" s="118"/>
      <c r="E21" s="112">
        <v>115302.0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167</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168</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169</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170</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171</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172</v>
      </c>
      <c r="D27" s="118"/>
      <c r="E27" s="119">
        <v>5600371.0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173</v>
      </c>
      <c r="D28" s="126"/>
      <c r="E28" s="127">
        <f>sum(E19:E27)</f>
        <v>10030602</v>
      </c>
      <c r="F28" s="43"/>
      <c r="G28" s="43"/>
      <c r="H28" s="43"/>
      <c r="I28" s="43"/>
      <c r="J28" s="43"/>
      <c r="K28" s="43"/>
      <c r="L28" s="43"/>
      <c r="M28" s="43"/>
      <c r="N28" s="43"/>
      <c r="O28" s="43"/>
      <c r="P28" s="43"/>
      <c r="Q28" s="43"/>
      <c r="R28" s="43"/>
      <c r="S28" s="43"/>
      <c r="T28" s="43"/>
      <c r="U28" s="43"/>
      <c r="V28" s="43"/>
      <c r="W28" s="43"/>
      <c r="X28" s="43"/>
      <c r="Y28" s="43"/>
      <c r="Z28" s="43"/>
    </row>
    <row r="29">
      <c r="A29" s="65" t="s">
        <v>174</v>
      </c>
      <c r="B29" s="128"/>
      <c r="C29" s="129" t="s">
        <v>175</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176</v>
      </c>
      <c r="D30" s="118"/>
      <c r="E30" s="112">
        <v>3.7206603E7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177</v>
      </c>
      <c r="D31" s="118"/>
      <c r="E31" s="112">
        <v>9907354.0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178</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179</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180</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181</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182</v>
      </c>
      <c r="D36" s="132"/>
      <c r="E36" s="127">
        <f>sum(E30:E35)</f>
        <v>47113957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183</v>
      </c>
      <c r="D37" s="136"/>
      <c r="E37" s="137">
        <f>E36+E28</f>
        <v>57144559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THE DOOR</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184</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185</v>
      </c>
      <c r="C3" s="145" t="s">
        <v>186</v>
      </c>
      <c r="D3" s="146">
        <f>'Expenses 2023'!C40</f>
        <v>34320852</v>
      </c>
      <c r="E3" s="147"/>
      <c r="F3" s="43"/>
      <c r="G3" s="43"/>
      <c r="H3" s="43"/>
      <c r="I3" s="43"/>
      <c r="J3" s="43"/>
      <c r="K3" s="43"/>
      <c r="L3" s="43"/>
      <c r="M3" s="43"/>
      <c r="N3" s="43"/>
      <c r="O3" s="43"/>
      <c r="P3" s="43"/>
      <c r="Q3" s="43"/>
      <c r="R3" s="43"/>
      <c r="S3" s="43"/>
      <c r="T3" s="43"/>
      <c r="U3" s="43"/>
      <c r="V3" s="43"/>
      <c r="W3" s="43"/>
      <c r="X3" s="43"/>
      <c r="Y3" s="43"/>
    </row>
    <row r="4">
      <c r="A4" s="139"/>
      <c r="B4" s="49"/>
      <c r="C4" s="145" t="s">
        <v>187</v>
      </c>
      <c r="D4" s="146">
        <f>'Expenses 2023'!C31</f>
        <v>1282642</v>
      </c>
      <c r="E4" s="147"/>
      <c r="F4" s="43"/>
      <c r="G4" s="43"/>
      <c r="H4" s="43"/>
      <c r="I4" s="43"/>
      <c r="J4" s="43"/>
      <c r="K4" s="43"/>
      <c r="L4" s="43"/>
      <c r="M4" s="43"/>
      <c r="N4" s="43"/>
      <c r="O4" s="43"/>
      <c r="P4" s="43"/>
      <c r="Q4" s="43"/>
      <c r="R4" s="43"/>
      <c r="S4" s="43"/>
      <c r="T4" s="43"/>
      <c r="U4" s="43"/>
      <c r="V4" s="43"/>
      <c r="W4" s="43"/>
      <c r="X4" s="43"/>
      <c r="Y4" s="43"/>
    </row>
    <row r="5">
      <c r="A5" s="139"/>
      <c r="B5" s="49"/>
      <c r="C5" s="145" t="s">
        <v>188</v>
      </c>
      <c r="D5" s="146">
        <f>D3-D4</f>
        <v>33038210</v>
      </c>
      <c r="E5" s="147"/>
      <c r="F5" s="43"/>
      <c r="G5" s="43"/>
      <c r="H5" s="43"/>
      <c r="I5" s="43"/>
      <c r="J5" s="43"/>
      <c r="K5" s="43"/>
      <c r="L5" s="43"/>
      <c r="M5" s="43"/>
      <c r="N5" s="43"/>
      <c r="O5" s="43"/>
      <c r="P5" s="43"/>
      <c r="Q5" s="43"/>
      <c r="R5" s="43"/>
      <c r="S5" s="43"/>
      <c r="T5" s="43"/>
      <c r="U5" s="43"/>
      <c r="V5" s="43"/>
      <c r="W5" s="43"/>
      <c r="X5" s="43"/>
      <c r="Y5" s="43"/>
    </row>
    <row r="6">
      <c r="A6" s="139"/>
      <c r="B6" s="49"/>
      <c r="C6" s="145" t="s">
        <v>189</v>
      </c>
      <c r="D6" s="146">
        <f>D5/12</f>
        <v>2753184.167</v>
      </c>
      <c r="E6" s="147"/>
      <c r="F6" s="43"/>
      <c r="G6" s="43"/>
      <c r="H6" s="43"/>
      <c r="I6" s="43"/>
      <c r="J6" s="43"/>
      <c r="K6" s="43"/>
      <c r="L6" s="43"/>
      <c r="M6" s="43"/>
      <c r="N6" s="43"/>
      <c r="O6" s="43"/>
      <c r="P6" s="43"/>
      <c r="Q6" s="43"/>
      <c r="R6" s="43"/>
      <c r="S6" s="43"/>
      <c r="T6" s="43"/>
      <c r="U6" s="43"/>
      <c r="V6" s="43"/>
      <c r="W6" s="43"/>
      <c r="X6" s="43"/>
      <c r="Y6" s="43"/>
    </row>
    <row r="7">
      <c r="A7" s="139"/>
      <c r="B7" s="49"/>
      <c r="C7" s="145" t="s">
        <v>190</v>
      </c>
      <c r="D7" s="75">
        <f>'Balance Sheet 2023'!E2+'Balance Sheet 2023'!E3</f>
        <v>430766</v>
      </c>
      <c r="E7" s="147"/>
      <c r="F7" s="43"/>
      <c r="G7" s="43"/>
      <c r="H7" s="43"/>
      <c r="I7" s="43"/>
      <c r="J7" s="43"/>
      <c r="K7" s="43"/>
      <c r="L7" s="43"/>
      <c r="M7" s="43"/>
      <c r="N7" s="43"/>
      <c r="O7" s="43"/>
      <c r="P7" s="43"/>
      <c r="Q7" s="43"/>
      <c r="R7" s="43"/>
      <c r="S7" s="43"/>
      <c r="T7" s="43"/>
      <c r="U7" s="43"/>
      <c r="V7" s="43"/>
      <c r="W7" s="43"/>
      <c r="X7" s="43"/>
      <c r="Y7" s="43"/>
    </row>
    <row r="8">
      <c r="A8" s="139"/>
      <c r="B8" s="49"/>
      <c r="C8" s="148" t="s">
        <v>184</v>
      </c>
      <c r="D8" s="149">
        <f>D7/D6</f>
        <v>0.1564610189</v>
      </c>
      <c r="E8" s="150" t="s">
        <v>191</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192</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193</v>
      </c>
      <c r="C11" s="145" t="s">
        <v>194</v>
      </c>
      <c r="D11" s="75">
        <f>'Balance Sheet 2023'!E30</f>
        <v>37206603</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195</v>
      </c>
      <c r="D12" s="75">
        <f>'Expenses 2023'!C40</f>
        <v>34320852</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196</v>
      </c>
      <c r="D13" s="146">
        <f>D12/12</f>
        <v>2860071</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192</v>
      </c>
      <c r="D14" s="149">
        <f>D11/D13</f>
        <v>13.0089788</v>
      </c>
      <c r="E14" s="150" t="s">
        <v>191</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197</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198</v>
      </c>
      <c r="C17" s="145" t="s">
        <v>199</v>
      </c>
      <c r="D17" s="75">
        <f>sum('Balance Sheet 2023'!E13:E15)</f>
        <v>22522206</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195</v>
      </c>
      <c r="D18" s="75">
        <f>'Expenses 2023'!C40</f>
        <v>34320852</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196</v>
      </c>
      <c r="D19" s="146">
        <f>D18/12</f>
        <v>2860071</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200</v>
      </c>
      <c r="D20" s="149">
        <f>D17/D19</f>
        <v>7.874701712</v>
      </c>
      <c r="E20" s="150" t="s">
        <v>191</v>
      </c>
      <c r="F20" s="43"/>
      <c r="G20" s="43"/>
      <c r="H20" s="43"/>
      <c r="I20" s="43"/>
      <c r="J20" s="43"/>
      <c r="K20" s="43"/>
      <c r="L20" s="43"/>
      <c r="M20" s="43"/>
      <c r="N20" s="43"/>
      <c r="O20" s="43"/>
      <c r="P20" s="43"/>
      <c r="Q20" s="43"/>
      <c r="R20" s="43"/>
      <c r="S20" s="43"/>
      <c r="T20" s="43"/>
      <c r="U20" s="43"/>
      <c r="V20" s="43"/>
      <c r="W20" s="43"/>
      <c r="X20" s="43"/>
      <c r="Y20" s="43"/>
    </row>
    <row r="21">
      <c r="A21" s="139"/>
      <c r="B21" s="49"/>
      <c r="C21" s="154" t="s">
        <v>201</v>
      </c>
      <c r="D21" s="155">
        <f>D20+D8</f>
        <v>8.031162731</v>
      </c>
      <c r="E21" s="156" t="s">
        <v>191</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202</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203</v>
      </c>
      <c r="C24" s="160"/>
      <c r="D24" s="161">
        <f>max('Revenues 2023'!E2:E7,'Revenues 2023'!F10:F15)</f>
        <v>18451831</v>
      </c>
      <c r="E24" s="162" t="s">
        <v>204</v>
      </c>
      <c r="F24" s="43"/>
      <c r="G24" s="43"/>
      <c r="H24" s="43"/>
      <c r="I24" s="43"/>
      <c r="J24" s="43"/>
      <c r="K24" s="43"/>
      <c r="L24" s="43"/>
      <c r="M24" s="43"/>
      <c r="N24" s="43"/>
      <c r="O24" s="43"/>
      <c r="P24" s="43"/>
      <c r="Q24" s="43"/>
      <c r="R24" s="43"/>
      <c r="S24" s="43"/>
      <c r="T24" s="43"/>
      <c r="U24" s="43"/>
      <c r="V24" s="43"/>
      <c r="W24" s="43"/>
      <c r="X24" s="43"/>
      <c r="Y24" s="43"/>
    </row>
    <row r="25">
      <c r="A25" s="139"/>
      <c r="B25" s="49"/>
      <c r="C25" s="145" t="s">
        <v>205</v>
      </c>
      <c r="D25" s="146">
        <f>'Revenues 2023'!F44</f>
        <v>38801850</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202</v>
      </c>
      <c r="D26" s="163">
        <f>D24/D25</f>
        <v>0.4755399807</v>
      </c>
      <c r="E26" s="150" t="s">
        <v>206</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207</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208</v>
      </c>
      <c r="C29" s="145" t="s">
        <v>209</v>
      </c>
      <c r="D29" s="75">
        <f>SUM('Expenses 2023'!C7:C9)</f>
        <v>18092010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210</v>
      </c>
      <c r="D30" s="75">
        <f>SUM('Expenses 2023'!C10:C12)</f>
        <v>6319395</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211</v>
      </c>
      <c r="D31" s="75">
        <f>sum(D29:D30)</f>
        <v>24411405</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186</v>
      </c>
      <c r="D32" s="75">
        <f>'Expenses 2023'!C40</f>
        <v>34320852</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212</v>
      </c>
      <c r="D33" s="163">
        <f>D31/D32</f>
        <v>0.7112703671</v>
      </c>
      <c r="E33" s="150" t="s">
        <v>213</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214</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215</v>
      </c>
      <c r="C36" s="145" t="s">
        <v>216</v>
      </c>
      <c r="D36" s="75">
        <f>SUM('Expenses 2023'!C10:C11)</f>
        <v>4994078</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209</v>
      </c>
      <c r="D37" s="75">
        <f>SUM('Expenses 2023'!C7:C9)</f>
        <v>18092010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214</v>
      </c>
      <c r="D38" s="163">
        <f>D36/D37</f>
        <v>0.2760377647</v>
      </c>
      <c r="E38" s="150" t="s">
        <v>217</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218</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219</v>
      </c>
      <c r="C41" s="148" t="s">
        <v>244</v>
      </c>
      <c r="D41" s="75">
        <f>'Expenses 2023'!D40</f>
        <v>23649712</v>
      </c>
      <c r="E41" s="165">
        <f t="shared" ref="E41:E44" si="1">D41/$D$44</f>
        <v>0.689077066</v>
      </c>
      <c r="F41" s="43"/>
      <c r="G41" s="43"/>
      <c r="H41" s="43"/>
      <c r="I41" s="43"/>
      <c r="J41" s="43"/>
      <c r="K41" s="43"/>
      <c r="L41" s="43"/>
      <c r="M41" s="43"/>
      <c r="N41" s="43"/>
      <c r="O41" s="43"/>
      <c r="P41" s="43"/>
      <c r="Q41" s="43"/>
      <c r="R41" s="43"/>
      <c r="S41" s="43"/>
      <c r="T41" s="43"/>
      <c r="U41" s="43"/>
      <c r="V41" s="43"/>
      <c r="W41" s="43"/>
      <c r="X41" s="43"/>
      <c r="Y41" s="43"/>
    </row>
    <row r="42">
      <c r="A42" s="139"/>
      <c r="B42" s="49"/>
      <c r="C42" s="148" t="s">
        <v>221</v>
      </c>
      <c r="D42" s="146">
        <f>'Expenses 2023'!E40</f>
        <v>8884998</v>
      </c>
      <c r="E42" s="165">
        <f t="shared" si="1"/>
        <v>0.2588804614</v>
      </c>
      <c r="F42" s="43"/>
      <c r="G42" s="43"/>
      <c r="H42" s="43"/>
      <c r="I42" s="43"/>
      <c r="J42" s="43"/>
      <c r="K42" s="43"/>
      <c r="L42" s="43"/>
      <c r="M42" s="43"/>
      <c r="N42" s="43"/>
      <c r="O42" s="43"/>
      <c r="P42" s="43"/>
      <c r="Q42" s="43"/>
      <c r="R42" s="43"/>
      <c r="S42" s="43"/>
      <c r="T42" s="43"/>
      <c r="U42" s="43"/>
      <c r="V42" s="43"/>
      <c r="W42" s="43"/>
      <c r="X42" s="43"/>
      <c r="Y42" s="43"/>
    </row>
    <row r="43">
      <c r="A43" s="139"/>
      <c r="B43" s="49"/>
      <c r="C43" s="148" t="s">
        <v>222</v>
      </c>
      <c r="D43" s="146">
        <f>'Expenses 2023'!F40</f>
        <v>1786142</v>
      </c>
      <c r="E43" s="165">
        <f t="shared" si="1"/>
        <v>0.05204247261</v>
      </c>
      <c r="F43" s="43"/>
      <c r="G43" s="43"/>
      <c r="H43" s="43"/>
      <c r="I43" s="43"/>
      <c r="J43" s="43"/>
      <c r="K43" s="43"/>
      <c r="L43" s="43"/>
      <c r="M43" s="43"/>
      <c r="N43" s="43"/>
      <c r="O43" s="43"/>
      <c r="P43" s="43"/>
      <c r="Q43" s="43"/>
      <c r="R43" s="43"/>
      <c r="S43" s="43"/>
      <c r="T43" s="43"/>
      <c r="U43" s="43"/>
      <c r="V43" s="43"/>
      <c r="W43" s="43"/>
      <c r="X43" s="43"/>
      <c r="Y43" s="43"/>
    </row>
    <row r="44">
      <c r="A44" s="139"/>
      <c r="B44" s="49"/>
      <c r="C44" s="145" t="s">
        <v>186</v>
      </c>
      <c r="D44" s="146">
        <f>sum(D41:D43)</f>
        <v>34320852</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223</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224</v>
      </c>
      <c r="C47" s="145" t="s">
        <v>225</v>
      </c>
      <c r="D47" s="146">
        <f>'Revenues 2023'!F9</f>
        <v>34941719</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226</v>
      </c>
      <c r="D48" s="146">
        <f>'Expenses 2023'!F40</f>
        <v>1786142</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227</v>
      </c>
      <c r="D49" s="166">
        <f>if(D48=0, "$0",D47/D48)</f>
        <v>19.56267699</v>
      </c>
      <c r="E49" s="150" t="s">
        <v>228</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229</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230</v>
      </c>
      <c r="C52" s="145" t="s">
        <v>231</v>
      </c>
      <c r="D52" s="146">
        <f>sum('Balance Sheet 2023'!E2:E10)</f>
        <v>17177802</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232</v>
      </c>
      <c r="D53" s="146">
        <f>sum('Balance Sheet 2023'!E19:E22)</f>
        <v>4430231</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233</v>
      </c>
      <c r="D54" s="168">
        <f>D52/D53</f>
        <v>3.87740549</v>
      </c>
      <c r="E54" s="150" t="s">
        <v>234</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235</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236</v>
      </c>
      <c r="C57" s="145" t="s">
        <v>237</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238</v>
      </c>
      <c r="D58" s="146">
        <f>'Balance Sheet 2023'!E18</f>
        <v>57144559</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239</v>
      </c>
      <c r="D59" s="169">
        <f>D57/D58</f>
        <v>0</v>
      </c>
      <c r="E59" s="150" t="s">
        <v>240</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THE DOOR</v>
      </c>
      <c r="B1" s="2" t="s">
        <v>245</v>
      </c>
      <c r="C1" s="139"/>
      <c r="D1" s="139"/>
      <c r="E1" s="139"/>
      <c r="F1" s="140"/>
      <c r="G1" s="140"/>
      <c r="H1" s="140"/>
      <c r="I1" s="43"/>
      <c r="J1" s="43"/>
      <c r="K1" s="43"/>
      <c r="L1" s="43"/>
      <c r="M1" s="43"/>
      <c r="N1" s="43"/>
      <c r="O1" s="43"/>
      <c r="P1" s="43"/>
      <c r="Q1" s="43"/>
      <c r="R1" s="43"/>
      <c r="S1" s="43"/>
      <c r="T1" s="43"/>
      <c r="U1" s="43"/>
      <c r="V1" s="43"/>
      <c r="W1" s="43"/>
      <c r="X1" s="43"/>
      <c r="Y1" s="43"/>
    </row>
    <row r="2">
      <c r="A2" s="141" t="s">
        <v>184</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185</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246</v>
      </c>
      <c r="E4" s="45" t="s">
        <v>247</v>
      </c>
      <c r="F4" s="45" t="s">
        <v>248</v>
      </c>
      <c r="G4" s="59" t="s">
        <v>249</v>
      </c>
      <c r="H4" s="59"/>
      <c r="I4" s="43"/>
      <c r="J4" s="43"/>
      <c r="K4" s="43"/>
      <c r="L4" s="43"/>
      <c r="M4" s="43"/>
      <c r="N4" s="43"/>
      <c r="O4" s="43"/>
      <c r="P4" s="43"/>
      <c r="Q4" s="43"/>
      <c r="R4" s="43"/>
      <c r="S4" s="43"/>
      <c r="T4" s="43"/>
      <c r="U4" s="43"/>
      <c r="V4" s="43"/>
      <c r="W4" s="43"/>
      <c r="X4" s="43"/>
      <c r="Y4" s="43"/>
    </row>
    <row r="5">
      <c r="A5" s="139"/>
      <c r="B5" s="49"/>
      <c r="C5" s="148" t="s">
        <v>184</v>
      </c>
      <c r="D5" s="177">
        <f>'Ratios 2021'!D8</f>
        <v>0.918289592</v>
      </c>
      <c r="E5" s="177">
        <f>'Ratios 2022'!D8</f>
        <v>0.4852845286</v>
      </c>
      <c r="F5" s="177">
        <f>'Ratios 2023'!D8</f>
        <v>0.1564610189</v>
      </c>
      <c r="G5" s="177">
        <f>average(D5:F5)</f>
        <v>0.5200117132</v>
      </c>
      <c r="H5" s="150" t="s">
        <v>191</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192</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193</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246</v>
      </c>
      <c r="E9" s="45" t="s">
        <v>247</v>
      </c>
      <c r="F9" s="45" t="s">
        <v>248</v>
      </c>
      <c r="G9" s="59" t="s">
        <v>249</v>
      </c>
      <c r="H9" s="59"/>
      <c r="I9" s="43"/>
      <c r="J9" s="43"/>
      <c r="K9" s="43"/>
      <c r="L9" s="43"/>
      <c r="M9" s="43"/>
      <c r="N9" s="43"/>
      <c r="O9" s="43"/>
      <c r="P9" s="43"/>
      <c r="Q9" s="43"/>
      <c r="R9" s="43"/>
      <c r="S9" s="43"/>
      <c r="T9" s="43"/>
      <c r="U9" s="43"/>
      <c r="V9" s="43"/>
      <c r="W9" s="43"/>
      <c r="X9" s="43"/>
      <c r="Y9" s="43"/>
    </row>
    <row r="10">
      <c r="A10" s="139"/>
      <c r="B10" s="49"/>
      <c r="C10" s="148" t="s">
        <v>192</v>
      </c>
      <c r="D10" s="149">
        <f>'Ratios 2021'!D14</f>
        <v>14.88375245</v>
      </c>
      <c r="E10" s="149">
        <f>'Ratios 2022'!D14</f>
        <v>13.18938552</v>
      </c>
      <c r="F10" s="149">
        <f>'Ratios 2023'!D14</f>
        <v>13.0089788</v>
      </c>
      <c r="G10" s="177">
        <f>average(D10:F10)</f>
        <v>13.69403892</v>
      </c>
      <c r="H10" s="150" t="s">
        <v>191</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197</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198</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246</v>
      </c>
      <c r="E14" s="45" t="s">
        <v>247</v>
      </c>
      <c r="F14" s="45" t="s">
        <v>248</v>
      </c>
      <c r="G14" s="59" t="s">
        <v>249</v>
      </c>
      <c r="H14" s="59"/>
      <c r="I14" s="43"/>
      <c r="J14" s="43"/>
      <c r="K14" s="43"/>
      <c r="L14" s="43"/>
      <c r="M14" s="43"/>
      <c r="N14" s="43"/>
      <c r="O14" s="43"/>
      <c r="P14" s="43"/>
      <c r="Q14" s="43"/>
      <c r="R14" s="43"/>
      <c r="S14" s="43"/>
      <c r="T14" s="43"/>
      <c r="U14" s="43"/>
      <c r="V14" s="43"/>
      <c r="W14" s="43"/>
      <c r="X14" s="43"/>
      <c r="Y14" s="43"/>
    </row>
    <row r="15">
      <c r="A15" s="139"/>
      <c r="B15" s="49"/>
      <c r="C15" s="148" t="s">
        <v>200</v>
      </c>
      <c r="D15" s="180">
        <f>'Ratios 2021'!D20</f>
        <v>8.890732672</v>
      </c>
      <c r="E15" s="180">
        <f>'Ratios 2022'!D20</f>
        <v>7.793565782</v>
      </c>
      <c r="F15" s="180">
        <f>'Ratios 2023'!D20</f>
        <v>7.874701712</v>
      </c>
      <c r="G15" s="177">
        <f>average(D15:F15)</f>
        <v>8.186333389</v>
      </c>
      <c r="H15" s="150" t="s">
        <v>191</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202</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203</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246</v>
      </c>
      <c r="E19" s="45" t="s">
        <v>247</v>
      </c>
      <c r="F19" s="45" t="s">
        <v>248</v>
      </c>
      <c r="G19" s="59" t="s">
        <v>249</v>
      </c>
      <c r="H19" s="59"/>
      <c r="I19" s="43"/>
      <c r="J19" s="43"/>
      <c r="K19" s="43"/>
      <c r="L19" s="43"/>
      <c r="M19" s="43"/>
      <c r="N19" s="43"/>
      <c r="O19" s="43"/>
      <c r="P19" s="43"/>
      <c r="Q19" s="43"/>
      <c r="R19" s="43"/>
      <c r="S19" s="43"/>
      <c r="T19" s="43"/>
      <c r="U19" s="43"/>
      <c r="V19" s="43"/>
      <c r="W19" s="43"/>
      <c r="X19" s="43"/>
      <c r="Y19" s="43"/>
    </row>
    <row r="20">
      <c r="A20" s="139"/>
      <c r="B20" s="49"/>
      <c r="C20" s="148" t="s">
        <v>202</v>
      </c>
      <c r="D20" s="163">
        <f>'Ratios 2021'!D26</f>
        <v>0.4457556936</v>
      </c>
      <c r="E20" s="163">
        <f>'Ratios 2022'!D26</f>
        <v>0.6006893513</v>
      </c>
      <c r="F20" s="163">
        <f>'Ratios 2023'!D26</f>
        <v>0.4755399807</v>
      </c>
      <c r="G20" s="181">
        <f>average(D20:F20)</f>
        <v>0.5073283419</v>
      </c>
      <c r="H20" s="150" t="s">
        <v>206</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207</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208</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246</v>
      </c>
      <c r="E24" s="45" t="s">
        <v>247</v>
      </c>
      <c r="F24" s="45" t="s">
        <v>248</v>
      </c>
      <c r="G24" s="59" t="s">
        <v>249</v>
      </c>
      <c r="H24" s="59"/>
      <c r="I24" s="43"/>
      <c r="J24" s="43"/>
      <c r="K24" s="43"/>
      <c r="L24" s="43"/>
      <c r="M24" s="43"/>
      <c r="N24" s="43"/>
      <c r="O24" s="43"/>
      <c r="P24" s="43"/>
      <c r="Q24" s="43"/>
      <c r="R24" s="43"/>
      <c r="S24" s="43"/>
      <c r="T24" s="43"/>
      <c r="U24" s="43"/>
      <c r="V24" s="43"/>
      <c r="W24" s="43"/>
      <c r="X24" s="43"/>
      <c r="Y24" s="43"/>
    </row>
    <row r="25">
      <c r="A25" s="139"/>
      <c r="B25" s="49"/>
      <c r="C25" s="148" t="s">
        <v>212</v>
      </c>
      <c r="D25" s="163">
        <f>'Ratios 2021'!D33</f>
        <v>0.675222643</v>
      </c>
      <c r="E25" s="163">
        <f>'Ratios 2022'!D33</f>
        <v>0.6808338782</v>
      </c>
      <c r="F25" s="163">
        <f>'Ratios 2023'!D33</f>
        <v>0.7112703671</v>
      </c>
      <c r="G25" s="181">
        <f>average(D25:F25)</f>
        <v>0.6891089627</v>
      </c>
      <c r="H25" s="150" t="s">
        <v>213</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214</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215</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246</v>
      </c>
      <c r="E29" s="45" t="s">
        <v>247</v>
      </c>
      <c r="F29" s="45" t="s">
        <v>248</v>
      </c>
      <c r="G29" s="59" t="s">
        <v>249</v>
      </c>
      <c r="H29" s="59"/>
      <c r="I29" s="43"/>
      <c r="J29" s="43"/>
      <c r="K29" s="43"/>
      <c r="L29" s="43"/>
      <c r="M29" s="43"/>
      <c r="N29" s="43"/>
      <c r="O29" s="43"/>
      <c r="P29" s="43"/>
      <c r="Q29" s="43"/>
      <c r="R29" s="43"/>
      <c r="S29" s="43"/>
      <c r="T29" s="43"/>
      <c r="U29" s="43"/>
      <c r="V29" s="43"/>
      <c r="W29" s="43"/>
      <c r="X29" s="43"/>
      <c r="Y29" s="43"/>
    </row>
    <row r="30">
      <c r="A30" s="139"/>
      <c r="B30" s="49"/>
      <c r="C30" s="148" t="s">
        <v>214</v>
      </c>
      <c r="D30" s="163">
        <f>'Ratios 2021'!D38</f>
        <v>0.2686340981</v>
      </c>
      <c r="E30" s="163">
        <f>'Ratios 2022'!D38</f>
        <v>0.264637743</v>
      </c>
      <c r="F30" s="163">
        <f>'Ratios 2023'!D38</f>
        <v>0.2760377647</v>
      </c>
      <c r="G30" s="181">
        <f>average(D30:F30)</f>
        <v>0.2697698686</v>
      </c>
      <c r="H30" s="150" t="s">
        <v>217</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218</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219</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246</v>
      </c>
      <c r="E34" s="45" t="s">
        <v>247</v>
      </c>
      <c r="F34" s="45" t="s">
        <v>248</v>
      </c>
      <c r="G34" s="59" t="s">
        <v>249</v>
      </c>
      <c r="H34" s="59"/>
      <c r="I34" s="43"/>
      <c r="J34" s="43"/>
      <c r="K34" s="43"/>
      <c r="L34" s="43"/>
      <c r="M34" s="43"/>
      <c r="N34" s="43"/>
      <c r="O34" s="43"/>
      <c r="P34" s="43"/>
      <c r="Q34" s="43"/>
      <c r="R34" s="43"/>
      <c r="S34" s="43"/>
      <c r="T34" s="43"/>
      <c r="U34" s="43"/>
      <c r="V34" s="43"/>
      <c r="W34" s="43"/>
      <c r="X34" s="43"/>
      <c r="Y34" s="43"/>
    </row>
    <row r="35">
      <c r="A35" s="139"/>
      <c r="B35" s="49"/>
      <c r="C35" s="148" t="s">
        <v>250</v>
      </c>
      <c r="D35" s="163">
        <f>'Ratios 2021'!E41</f>
        <v>0.7205762027</v>
      </c>
      <c r="E35" s="163">
        <f>'Ratios 2022'!E41</f>
        <v>0.7047614518</v>
      </c>
      <c r="F35" s="163">
        <f>'Ratios 2023'!E41</f>
        <v>0.689077066</v>
      </c>
      <c r="G35" s="181">
        <f t="shared" ref="G35:G37" si="1">average(D35:F35)</f>
        <v>0.7048049068</v>
      </c>
      <c r="H35" s="181"/>
      <c r="I35" s="43"/>
      <c r="J35" s="43"/>
      <c r="K35" s="43"/>
      <c r="L35" s="43"/>
      <c r="M35" s="43"/>
      <c r="N35" s="43"/>
      <c r="O35" s="43"/>
      <c r="P35" s="43"/>
      <c r="Q35" s="43"/>
      <c r="R35" s="43"/>
      <c r="S35" s="43"/>
      <c r="T35" s="43"/>
      <c r="U35" s="43"/>
      <c r="V35" s="43"/>
      <c r="W35" s="43"/>
      <c r="X35" s="43"/>
      <c r="Y35" s="43"/>
    </row>
    <row r="36">
      <c r="A36" s="139"/>
      <c r="B36" s="52"/>
      <c r="C36" s="148" t="s">
        <v>221</v>
      </c>
      <c r="D36" s="163">
        <f>'Ratios 2021'!E42</f>
        <v>0.2341789937</v>
      </c>
      <c r="E36" s="163">
        <f>'Ratios 2022'!E42</f>
        <v>0.2501770936</v>
      </c>
      <c r="F36" s="163">
        <f>'Ratios 2023'!E42</f>
        <v>0.2588804614</v>
      </c>
      <c r="G36" s="181">
        <f t="shared" si="1"/>
        <v>0.2477455162</v>
      </c>
      <c r="H36" s="181"/>
      <c r="I36" s="43"/>
      <c r="J36" s="43"/>
      <c r="K36" s="43"/>
      <c r="L36" s="43"/>
      <c r="M36" s="43"/>
      <c r="N36" s="43"/>
      <c r="O36" s="43"/>
      <c r="P36" s="43"/>
      <c r="Q36" s="43"/>
      <c r="R36" s="43"/>
      <c r="S36" s="43"/>
      <c r="T36" s="43"/>
      <c r="U36" s="43"/>
      <c r="V36" s="43"/>
      <c r="W36" s="43"/>
      <c r="X36" s="43"/>
      <c r="Y36" s="43"/>
    </row>
    <row r="37">
      <c r="A37" s="139"/>
      <c r="B37" s="182"/>
      <c r="C37" s="148" t="s">
        <v>222</v>
      </c>
      <c r="D37" s="163">
        <f>'Ratios 2021'!E43</f>
        <v>0.04524480359</v>
      </c>
      <c r="E37" s="163">
        <f>'Ratios 2022'!E43</f>
        <v>0.04506145465</v>
      </c>
      <c r="F37" s="163">
        <f>'Ratios 2023'!E43</f>
        <v>0.05204247261</v>
      </c>
      <c r="G37" s="181">
        <f t="shared" si="1"/>
        <v>0.04744957695</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223</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224</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246</v>
      </c>
      <c r="E41" s="45" t="s">
        <v>247</v>
      </c>
      <c r="F41" s="45" t="s">
        <v>248</v>
      </c>
      <c r="G41" s="59" t="s">
        <v>249</v>
      </c>
      <c r="H41" s="59"/>
      <c r="I41" s="43"/>
      <c r="J41" s="43"/>
      <c r="K41" s="43"/>
      <c r="L41" s="43"/>
      <c r="M41" s="43"/>
      <c r="N41" s="43"/>
      <c r="O41" s="43"/>
      <c r="P41" s="43"/>
      <c r="Q41" s="43"/>
      <c r="R41" s="43"/>
      <c r="S41" s="43"/>
      <c r="T41" s="43"/>
      <c r="U41" s="43"/>
      <c r="V41" s="43"/>
      <c r="W41" s="43"/>
      <c r="X41" s="43"/>
      <c r="Y41" s="43"/>
    </row>
    <row r="42">
      <c r="A42" s="139"/>
      <c r="B42" s="49"/>
      <c r="C42" s="148" t="s">
        <v>227</v>
      </c>
      <c r="D42" s="166">
        <f>'Ratios 2021'!D49</f>
        <v>22.81568311</v>
      </c>
      <c r="E42" s="166">
        <f>'Ratios 2022'!D49</f>
        <v>16.37391341</v>
      </c>
      <c r="F42" s="166">
        <f>'Ratios 2023'!D49</f>
        <v>19.56267699</v>
      </c>
      <c r="G42" s="183">
        <f>average(D42:F42)</f>
        <v>19.58409117</v>
      </c>
      <c r="H42" s="150" t="s">
        <v>228</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229</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230</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246</v>
      </c>
      <c r="E46" s="45" t="s">
        <v>247</v>
      </c>
      <c r="F46" s="45" t="s">
        <v>248</v>
      </c>
      <c r="G46" s="59" t="s">
        <v>249</v>
      </c>
      <c r="H46" s="59"/>
      <c r="I46" s="43"/>
      <c r="J46" s="43"/>
      <c r="K46" s="43"/>
      <c r="L46" s="43"/>
      <c r="M46" s="43"/>
      <c r="N46" s="43"/>
      <c r="O46" s="43"/>
      <c r="P46" s="43"/>
      <c r="Q46" s="43"/>
      <c r="R46" s="43"/>
      <c r="S46" s="43"/>
      <c r="T46" s="43"/>
      <c r="U46" s="43"/>
      <c r="V46" s="43"/>
      <c r="W46" s="43"/>
      <c r="X46" s="43"/>
      <c r="Y46" s="43"/>
    </row>
    <row r="47">
      <c r="A47" s="139"/>
      <c r="B47" s="49"/>
      <c r="C47" s="148" t="s">
        <v>233</v>
      </c>
      <c r="D47" s="149">
        <f>'Ratios 2021'!D54</f>
        <v>5.442239793</v>
      </c>
      <c r="E47" s="149">
        <f>'Ratios 2022'!D54</f>
        <v>3.359375346</v>
      </c>
      <c r="F47" s="149">
        <f>'Ratios 2023'!D54</f>
        <v>3.87740549</v>
      </c>
      <c r="G47" s="177">
        <f>average(D47:F47)</f>
        <v>4.22634021</v>
      </c>
      <c r="H47" s="150" t="s">
        <v>234</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235</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236</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246</v>
      </c>
      <c r="E51" s="45" t="s">
        <v>247</v>
      </c>
      <c r="F51" s="45" t="s">
        <v>248</v>
      </c>
      <c r="G51" s="59" t="s">
        <v>249</v>
      </c>
      <c r="H51" s="59"/>
      <c r="I51" s="43"/>
      <c r="J51" s="43"/>
      <c r="K51" s="43"/>
      <c r="L51" s="43"/>
      <c r="M51" s="43"/>
      <c r="N51" s="43"/>
      <c r="O51" s="43"/>
      <c r="P51" s="43"/>
      <c r="Q51" s="43"/>
      <c r="R51" s="43"/>
      <c r="S51" s="43"/>
      <c r="T51" s="43"/>
      <c r="U51" s="43"/>
      <c r="V51" s="43"/>
      <c r="W51" s="43"/>
      <c r="X51" s="43"/>
      <c r="Y51" s="43"/>
    </row>
    <row r="52">
      <c r="A52" s="139"/>
      <c r="B52" s="49"/>
      <c r="C52" s="148" t="s">
        <v>239</v>
      </c>
      <c r="D52" s="184">
        <f>'Ratios 2021'!D59</f>
        <v>0.02678622199</v>
      </c>
      <c r="E52" s="184">
        <f>'Ratios 2022'!D59</f>
        <v>0</v>
      </c>
      <c r="F52" s="184">
        <f>'Ratios 2023'!D59</f>
        <v>0</v>
      </c>
      <c r="G52" s="185">
        <f>average(D52:F52)</f>
        <v>0.008928740665</v>
      </c>
      <c r="H52" s="150" t="s">
        <v>240</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THE DOOR</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THE DOOR</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779828.0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1.835965E7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1.5733381E7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34872859</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1942108.0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1942108</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855206.0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850748.0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474584.0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376164</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376164</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1.452938E7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1.2154005E7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2375375</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2375375</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41543.0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-41543</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97</v>
      </c>
      <c r="D39" s="74"/>
      <c r="E39" s="48">
        <v>498521.0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98</v>
      </c>
      <c r="D40" s="74"/>
      <c r="E40" s="48">
        <v>192000.0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99</v>
      </c>
      <c r="D41" s="74"/>
      <c r="E41" s="48">
        <v>117006.0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100</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807527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41187696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THE DOOR</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720000</v>
      </c>
      <c r="D3" s="99">
        <v>720000.0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532756</v>
      </c>
      <c r="D7" s="99">
        <v>0.0</v>
      </c>
      <c r="E7" s="99">
        <v>532756.0</v>
      </c>
      <c r="F7" s="99">
        <v>0.0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112</v>
      </c>
      <c r="C9" s="98">
        <f t="shared" si="1"/>
        <v>16430783</v>
      </c>
      <c r="D9" s="99">
        <v>1.2941178E7</v>
      </c>
      <c r="E9" s="99">
        <v>2519267.0</v>
      </c>
      <c r="F9" s="99">
        <v>970338.0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529948</v>
      </c>
      <c r="D10" s="99">
        <v>437278.0</v>
      </c>
      <c r="E10" s="99">
        <v>65135.0</v>
      </c>
      <c r="F10" s="99">
        <v>27535.0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4027037</v>
      </c>
      <c r="D11" s="99">
        <v>3110907.0</v>
      </c>
      <c r="E11" s="99">
        <v>720239.0</v>
      </c>
      <c r="F11" s="99">
        <v>195891.0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1289848</v>
      </c>
      <c r="D12" s="99">
        <v>992727.0</v>
      </c>
      <c r="E12" s="99">
        <v>234610.0</v>
      </c>
      <c r="F12" s="99">
        <v>62511.0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523020</v>
      </c>
      <c r="D15" s="99">
        <v>0.0</v>
      </c>
      <c r="E15" s="99">
        <v>523020.0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380513</v>
      </c>
      <c r="D16" s="99">
        <v>0.0</v>
      </c>
      <c r="E16" s="99">
        <v>380513.0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177660</v>
      </c>
      <c r="D19" s="99">
        <v>0.0</v>
      </c>
      <c r="E19" s="99">
        <v>177660.0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2630663</v>
      </c>
      <c r="D20" s="99">
        <v>1592605.0</v>
      </c>
      <c r="E20" s="99">
        <v>990483.0</v>
      </c>
      <c r="F20" s="99">
        <v>47575.0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67113</v>
      </c>
      <c r="D21" s="99">
        <v>30243.0</v>
      </c>
      <c r="E21" s="99">
        <v>35967.0</v>
      </c>
      <c r="F21" s="99">
        <v>903.0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2494390</v>
      </c>
      <c r="D22" s="99">
        <v>1715940.0</v>
      </c>
      <c r="E22" s="99">
        <v>659426.0</v>
      </c>
      <c r="F22" s="99">
        <v>119024.0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1184166</v>
      </c>
      <c r="D25" s="99">
        <v>1032310.0</v>
      </c>
      <c r="E25" s="99">
        <v>100624.0</v>
      </c>
      <c r="F25" s="99">
        <v>51232.0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24477</v>
      </c>
      <c r="D26" s="99">
        <v>9835.0</v>
      </c>
      <c r="E26" s="99">
        <v>14523.0</v>
      </c>
      <c r="F26" s="99">
        <v>119.0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101336</v>
      </c>
      <c r="D28" s="99">
        <v>54428.0</v>
      </c>
      <c r="E28" s="99">
        <v>37171.0</v>
      </c>
      <c r="F28" s="99">
        <v>9737.0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1275628</v>
      </c>
      <c r="D31" s="99">
        <v>966375.0</v>
      </c>
      <c r="E31" s="99">
        <v>270984.0</v>
      </c>
      <c r="F31" s="99">
        <v>38269.0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125382</v>
      </c>
      <c r="D32" s="99">
        <v>114266.0</v>
      </c>
      <c r="E32" s="99">
        <v>5893.0</v>
      </c>
      <c r="F32" s="99">
        <v>5223.0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102" t="s">
        <v>137</v>
      </c>
      <c r="C34" s="98">
        <f t="shared" si="1"/>
        <v>626966</v>
      </c>
      <c r="D34" s="99">
        <v>0.0</v>
      </c>
      <c r="E34" s="99">
        <v>626966.0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138</v>
      </c>
      <c r="C35" s="98">
        <f t="shared" si="1"/>
        <v>446431</v>
      </c>
      <c r="D35" s="99">
        <v>442348.0</v>
      </c>
      <c r="E35" s="99">
        <v>4022.0</v>
      </c>
      <c r="F35" s="99">
        <v>61.0</v>
      </c>
      <c r="G35" s="43"/>
      <c r="H35" s="43"/>
      <c r="I35" s="43"/>
      <c r="J35" s="43"/>
      <c r="K35" s="43"/>
      <c r="L35" s="43"/>
      <c r="M35" s="43"/>
      <c r="N35" s="43"/>
      <c r="O35" s="43"/>
      <c r="P35" s="43"/>
      <c r="Q35" s="43"/>
      <c r="R35" s="43"/>
      <c r="S35" s="43"/>
      <c r="T35" s="43"/>
      <c r="U35" s="43"/>
      <c r="V35" s="43"/>
      <c r="W35" s="43"/>
      <c r="X35" s="43"/>
      <c r="Y35" s="43"/>
      <c r="Z35" s="43"/>
    </row>
    <row r="36">
      <c r="A36" s="45" t="s">
        <v>50</v>
      </c>
      <c r="B36" s="103" t="s">
        <v>139</v>
      </c>
      <c r="C36" s="98">
        <f t="shared" si="1"/>
        <v>184104</v>
      </c>
      <c r="D36" s="99">
        <v>182066.0</v>
      </c>
      <c r="E36" s="99">
        <v>1996.0</v>
      </c>
      <c r="F36" s="99">
        <v>42.0</v>
      </c>
      <c r="G36" s="43"/>
      <c r="H36" s="43"/>
      <c r="I36" s="43"/>
      <c r="J36" s="43"/>
      <c r="K36" s="43"/>
      <c r="L36" s="43"/>
      <c r="M36" s="43"/>
      <c r="N36" s="43"/>
      <c r="O36" s="43"/>
      <c r="P36" s="43"/>
      <c r="Q36" s="43"/>
      <c r="R36" s="43"/>
      <c r="S36" s="43"/>
      <c r="T36" s="43"/>
      <c r="U36" s="43"/>
      <c r="V36" s="43"/>
      <c r="W36" s="43"/>
      <c r="X36" s="43"/>
      <c r="Y36" s="43"/>
      <c r="Z36" s="43"/>
    </row>
    <row r="37">
      <c r="A37" s="45" t="s">
        <v>52</v>
      </c>
      <c r="B37" s="103" t="s">
        <v>140</v>
      </c>
      <c r="C37" s="98">
        <f t="shared" si="1"/>
        <v>9780</v>
      </c>
      <c r="D37" s="99">
        <v>0.0</v>
      </c>
      <c r="E37" s="99">
        <v>9780.0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4">
        <f t="shared" ref="C40:F40" si="2">sum(C3:C39)</f>
        <v>33782001</v>
      </c>
      <c r="D40" s="104">
        <f t="shared" si="2"/>
        <v>24342506</v>
      </c>
      <c r="E40" s="104">
        <f t="shared" si="2"/>
        <v>7911035</v>
      </c>
      <c r="F40" s="104">
        <f t="shared" si="2"/>
        <v>1528460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THE DOOR</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143</v>
      </c>
      <c r="B2" s="45">
        <v>1.0</v>
      </c>
      <c r="C2" s="46" t="s">
        <v>144</v>
      </c>
      <c r="D2" s="111"/>
      <c r="E2" s="112">
        <v>868899.0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3"/>
      <c r="E3" s="112">
        <v>1618623.0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1"/>
      <c r="E4" s="112">
        <v>1.0811162E7</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3"/>
      <c r="E5" s="112">
        <v>177583.0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3"/>
      <c r="E8" s="112">
        <v>54630.0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3"/>
      <c r="E9" s="112">
        <v>51106.0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1"/>
      <c r="E10" s="112">
        <v>262587.0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2">
        <v>3.0790969E7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2">
        <v>1.8474638E7</v>
      </c>
      <c r="E12" s="109">
        <f>D11-D12</f>
        <v>12316331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3"/>
      <c r="E13" s="112">
        <v>7238112.0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3"/>
      <c r="E14" s="112">
        <v>1.7790783E7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3"/>
      <c r="E17" s="112">
        <v>1075860.0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4"/>
      <c r="E18" s="115">
        <f>sum(E2:E17)</f>
        <v>52265676</v>
      </c>
      <c r="F18" s="43"/>
      <c r="G18" s="43"/>
      <c r="H18" s="43"/>
      <c r="I18" s="43"/>
      <c r="J18" s="43"/>
      <c r="K18" s="43"/>
      <c r="L18" s="43"/>
      <c r="M18" s="43"/>
      <c r="N18" s="43"/>
      <c r="O18" s="43"/>
      <c r="P18" s="43"/>
      <c r="Q18" s="43"/>
      <c r="R18" s="43"/>
      <c r="S18" s="43"/>
      <c r="T18" s="43"/>
      <c r="U18" s="43"/>
      <c r="V18" s="43"/>
      <c r="W18" s="43"/>
      <c r="X18" s="43"/>
      <c r="Y18" s="43"/>
      <c r="Z18" s="43"/>
    </row>
    <row r="19">
      <c r="A19" s="44" t="s">
        <v>163</v>
      </c>
      <c r="B19" s="116">
        <v>17.0</v>
      </c>
      <c r="C19" s="117" t="s">
        <v>164</v>
      </c>
      <c r="D19" s="118"/>
      <c r="E19" s="112">
        <v>2543914.0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165</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166</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167</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168</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169</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170</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171</v>
      </c>
      <c r="D26" s="118"/>
      <c r="E26" s="119">
        <v>1400000.0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172</v>
      </c>
      <c r="D27" s="118"/>
      <c r="E27" s="119">
        <v>1882836.0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173</v>
      </c>
      <c r="D28" s="126"/>
      <c r="E28" s="127">
        <f>sum(E19:E27)</f>
        <v>5826750</v>
      </c>
      <c r="F28" s="43"/>
      <c r="G28" s="43"/>
      <c r="H28" s="43"/>
      <c r="I28" s="43"/>
      <c r="J28" s="43"/>
      <c r="K28" s="43"/>
      <c r="L28" s="43"/>
      <c r="M28" s="43"/>
      <c r="N28" s="43"/>
      <c r="O28" s="43"/>
      <c r="P28" s="43"/>
      <c r="Q28" s="43"/>
      <c r="R28" s="43"/>
      <c r="S28" s="43"/>
      <c r="T28" s="43"/>
      <c r="U28" s="43"/>
      <c r="V28" s="43"/>
      <c r="W28" s="43"/>
      <c r="X28" s="43"/>
      <c r="Y28" s="43"/>
      <c r="Z28" s="43"/>
    </row>
    <row r="29">
      <c r="A29" s="65" t="s">
        <v>174</v>
      </c>
      <c r="B29" s="128"/>
      <c r="C29" s="129" t="s">
        <v>175</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176</v>
      </c>
      <c r="D30" s="118"/>
      <c r="E30" s="112">
        <v>4.1900245E7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177</v>
      </c>
      <c r="D31" s="118"/>
      <c r="E31" s="112">
        <v>4538681.0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178</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179</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180</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181</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182</v>
      </c>
      <c r="D36" s="132"/>
      <c r="E36" s="127">
        <f>sum(E30:E35)</f>
        <v>46438926</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183</v>
      </c>
      <c r="D37" s="136"/>
      <c r="E37" s="137">
        <f>E36+E28</f>
        <v>52265676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THE DOOR</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184</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185</v>
      </c>
      <c r="C3" s="145" t="s">
        <v>186</v>
      </c>
      <c r="D3" s="146">
        <f>'Expenses 2021'!C40</f>
        <v>33782001</v>
      </c>
      <c r="E3" s="147"/>
      <c r="F3" s="43"/>
      <c r="G3" s="43"/>
      <c r="H3" s="43"/>
      <c r="I3" s="43"/>
      <c r="J3" s="43"/>
      <c r="K3" s="43"/>
      <c r="L3" s="43"/>
      <c r="M3" s="43"/>
      <c r="N3" s="43"/>
      <c r="O3" s="43"/>
      <c r="P3" s="43"/>
      <c r="Q3" s="43"/>
      <c r="R3" s="43"/>
      <c r="S3" s="43"/>
      <c r="T3" s="43"/>
      <c r="U3" s="43"/>
      <c r="V3" s="43"/>
      <c r="W3" s="43"/>
      <c r="X3" s="43"/>
      <c r="Y3" s="43"/>
    </row>
    <row r="4">
      <c r="A4" s="139"/>
      <c r="B4" s="49"/>
      <c r="C4" s="145" t="s">
        <v>187</v>
      </c>
      <c r="D4" s="146">
        <f>'Expenses 2021'!C31</f>
        <v>1275628</v>
      </c>
      <c r="E4" s="147"/>
      <c r="F4" s="43"/>
      <c r="G4" s="43"/>
      <c r="H4" s="43"/>
      <c r="I4" s="43"/>
      <c r="J4" s="43"/>
      <c r="K4" s="43"/>
      <c r="L4" s="43"/>
      <c r="M4" s="43"/>
      <c r="N4" s="43"/>
      <c r="O4" s="43"/>
      <c r="P4" s="43"/>
      <c r="Q4" s="43"/>
      <c r="R4" s="43"/>
      <c r="S4" s="43"/>
      <c r="T4" s="43"/>
      <c r="U4" s="43"/>
      <c r="V4" s="43"/>
      <c r="W4" s="43"/>
      <c r="X4" s="43"/>
      <c r="Y4" s="43"/>
    </row>
    <row r="5">
      <c r="A5" s="139"/>
      <c r="B5" s="49"/>
      <c r="C5" s="145" t="s">
        <v>188</v>
      </c>
      <c r="D5" s="146">
        <f>D3-D4</f>
        <v>32506373</v>
      </c>
      <c r="E5" s="147"/>
      <c r="F5" s="43"/>
      <c r="G5" s="43"/>
      <c r="H5" s="43"/>
      <c r="I5" s="43"/>
      <c r="J5" s="43"/>
      <c r="K5" s="43"/>
      <c r="L5" s="43"/>
      <c r="M5" s="43"/>
      <c r="N5" s="43"/>
      <c r="O5" s="43"/>
      <c r="P5" s="43"/>
      <c r="Q5" s="43"/>
      <c r="R5" s="43"/>
      <c r="S5" s="43"/>
      <c r="T5" s="43"/>
      <c r="U5" s="43"/>
      <c r="V5" s="43"/>
      <c r="W5" s="43"/>
      <c r="X5" s="43"/>
      <c r="Y5" s="43"/>
    </row>
    <row r="6">
      <c r="A6" s="139"/>
      <c r="B6" s="49"/>
      <c r="C6" s="145" t="s">
        <v>189</v>
      </c>
      <c r="D6" s="146">
        <f>D5/12</f>
        <v>2708864.417</v>
      </c>
      <c r="E6" s="147"/>
      <c r="F6" s="43"/>
      <c r="G6" s="43"/>
      <c r="H6" s="43"/>
      <c r="I6" s="43"/>
      <c r="J6" s="43"/>
      <c r="K6" s="43"/>
      <c r="L6" s="43"/>
      <c r="M6" s="43"/>
      <c r="N6" s="43"/>
      <c r="O6" s="43"/>
      <c r="P6" s="43"/>
      <c r="Q6" s="43"/>
      <c r="R6" s="43"/>
      <c r="S6" s="43"/>
      <c r="T6" s="43"/>
      <c r="U6" s="43"/>
      <c r="V6" s="43"/>
      <c r="W6" s="43"/>
      <c r="X6" s="43"/>
      <c r="Y6" s="43"/>
    </row>
    <row r="7">
      <c r="A7" s="139"/>
      <c r="B7" s="49"/>
      <c r="C7" s="145" t="s">
        <v>190</v>
      </c>
      <c r="D7" s="75">
        <f>'Balance Sheet 2021'!E2+'Balance Sheet 2021'!E3</f>
        <v>2487522</v>
      </c>
      <c r="E7" s="147"/>
      <c r="F7" s="43"/>
      <c r="G7" s="43"/>
      <c r="H7" s="43"/>
      <c r="I7" s="43"/>
      <c r="J7" s="43"/>
      <c r="K7" s="43"/>
      <c r="L7" s="43"/>
      <c r="M7" s="43"/>
      <c r="N7" s="43"/>
      <c r="O7" s="43"/>
      <c r="P7" s="43"/>
      <c r="Q7" s="43"/>
      <c r="R7" s="43"/>
      <c r="S7" s="43"/>
      <c r="T7" s="43"/>
      <c r="U7" s="43"/>
      <c r="V7" s="43"/>
      <c r="W7" s="43"/>
      <c r="X7" s="43"/>
      <c r="Y7" s="43"/>
    </row>
    <row r="8">
      <c r="A8" s="139"/>
      <c r="B8" s="49"/>
      <c r="C8" s="148" t="s">
        <v>184</v>
      </c>
      <c r="D8" s="149">
        <f>D7/D6</f>
        <v>0.918289592</v>
      </c>
      <c r="E8" s="150" t="s">
        <v>191</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192</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193</v>
      </c>
      <c r="C11" s="145" t="s">
        <v>194</v>
      </c>
      <c r="D11" s="75">
        <f>'Balance Sheet 2021'!E30</f>
        <v>41900245</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195</v>
      </c>
      <c r="D12" s="75">
        <f>'Expenses 2021'!C40</f>
        <v>33782001</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196</v>
      </c>
      <c r="D13" s="146">
        <f>D12/12</f>
        <v>2815166.75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192</v>
      </c>
      <c r="D14" s="149">
        <f>D11/D13</f>
        <v>14.88375245</v>
      </c>
      <c r="E14" s="150" t="s">
        <v>191</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197</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198</v>
      </c>
      <c r="C17" s="145" t="s">
        <v>199</v>
      </c>
      <c r="D17" s="75">
        <f>sum('Balance Sheet 2021'!E13:E15)</f>
        <v>25028895</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195</v>
      </c>
      <c r="D18" s="75">
        <f>'Expenses 2021'!C40</f>
        <v>33782001</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196</v>
      </c>
      <c r="D19" s="146">
        <f>D18/12</f>
        <v>2815166.75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200</v>
      </c>
      <c r="D20" s="149">
        <f>D17/D19</f>
        <v>8.890732672</v>
      </c>
      <c r="E20" s="150" t="s">
        <v>191</v>
      </c>
      <c r="F20" s="43"/>
      <c r="G20" s="43"/>
      <c r="H20" s="43"/>
      <c r="I20" s="43"/>
      <c r="J20" s="43"/>
      <c r="K20" s="43"/>
      <c r="L20" s="43"/>
      <c r="M20" s="43"/>
      <c r="N20" s="43"/>
      <c r="O20" s="43"/>
      <c r="P20" s="43"/>
      <c r="Q20" s="43"/>
      <c r="R20" s="43"/>
      <c r="S20" s="43"/>
      <c r="T20" s="43"/>
      <c r="U20" s="43"/>
      <c r="V20" s="43"/>
      <c r="W20" s="43"/>
      <c r="X20" s="43"/>
      <c r="Y20" s="43"/>
    </row>
    <row r="21">
      <c r="A21" s="139"/>
      <c r="B21" s="49"/>
      <c r="C21" s="154" t="s">
        <v>201</v>
      </c>
      <c r="D21" s="155">
        <f>D20+D8</f>
        <v>9.809022264</v>
      </c>
      <c r="E21" s="156" t="s">
        <v>191</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202</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203</v>
      </c>
      <c r="C24" s="160"/>
      <c r="D24" s="161">
        <f>max('Revenues 2021'!E2:E7,'Revenues 2021'!F10:F15)</f>
        <v>18359650</v>
      </c>
      <c r="E24" s="162" t="s">
        <v>204</v>
      </c>
      <c r="F24" s="43"/>
      <c r="G24" s="43"/>
      <c r="H24" s="43"/>
      <c r="I24" s="43"/>
      <c r="J24" s="43"/>
      <c r="K24" s="43"/>
      <c r="L24" s="43"/>
      <c r="M24" s="43"/>
      <c r="N24" s="43"/>
      <c r="O24" s="43"/>
      <c r="P24" s="43"/>
      <c r="Q24" s="43"/>
      <c r="R24" s="43"/>
      <c r="S24" s="43"/>
      <c r="T24" s="43"/>
      <c r="U24" s="43"/>
      <c r="V24" s="43"/>
      <c r="W24" s="43"/>
      <c r="X24" s="43"/>
      <c r="Y24" s="43"/>
    </row>
    <row r="25">
      <c r="A25" s="139"/>
      <c r="B25" s="49"/>
      <c r="C25" s="145" t="s">
        <v>205</v>
      </c>
      <c r="D25" s="146">
        <f>'Revenues 2021'!F44</f>
        <v>41187696</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202</v>
      </c>
      <c r="D26" s="163">
        <f>D24/D25</f>
        <v>0.4457556936</v>
      </c>
      <c r="E26" s="150" t="s">
        <v>206</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207</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208</v>
      </c>
      <c r="C29" s="145" t="s">
        <v>209</v>
      </c>
      <c r="D29" s="75">
        <f>SUM('Expenses 2021'!C7:C9)</f>
        <v>16963539</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210</v>
      </c>
      <c r="D30" s="75">
        <f>SUM('Expenses 2021'!C10:C12)</f>
        <v>5846833</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211</v>
      </c>
      <c r="D31" s="75">
        <f>sum(D29:D30)</f>
        <v>22810372</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186</v>
      </c>
      <c r="D32" s="75">
        <f>'Expenses 2021'!C40</f>
        <v>33782001</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212</v>
      </c>
      <c r="D33" s="163">
        <f>D31/D32</f>
        <v>0.675222643</v>
      </c>
      <c r="E33" s="150" t="s">
        <v>213</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214</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215</v>
      </c>
      <c r="C36" s="145" t="s">
        <v>216</v>
      </c>
      <c r="D36" s="75">
        <f>SUM('Expenses 2021'!C10:C11)</f>
        <v>4556985</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209</v>
      </c>
      <c r="D37" s="75">
        <f>SUM('Expenses 2021'!C7:C9)</f>
        <v>16963539</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214</v>
      </c>
      <c r="D38" s="163">
        <f>D36/D37</f>
        <v>0.2686340981</v>
      </c>
      <c r="E38" s="150" t="s">
        <v>217</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218</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219</v>
      </c>
      <c r="C41" s="148" t="s">
        <v>220</v>
      </c>
      <c r="D41" s="75">
        <f>'Expenses 2021'!D40</f>
        <v>24342506</v>
      </c>
      <c r="E41" s="165">
        <f t="shared" ref="E41:E44" si="1">D41/$D$44</f>
        <v>0.7205762027</v>
      </c>
      <c r="F41" s="43"/>
      <c r="G41" s="43"/>
      <c r="H41" s="43"/>
      <c r="I41" s="43"/>
      <c r="J41" s="43"/>
      <c r="K41" s="43"/>
      <c r="L41" s="43"/>
      <c r="M41" s="43"/>
      <c r="N41" s="43"/>
      <c r="O41" s="43"/>
      <c r="P41" s="43"/>
      <c r="Q41" s="43"/>
      <c r="R41" s="43"/>
      <c r="S41" s="43"/>
      <c r="T41" s="43"/>
      <c r="U41" s="43"/>
      <c r="V41" s="43"/>
      <c r="W41" s="43"/>
      <c r="X41" s="43"/>
      <c r="Y41" s="43"/>
    </row>
    <row r="42">
      <c r="A42" s="139"/>
      <c r="B42" s="49"/>
      <c r="C42" s="148" t="s">
        <v>221</v>
      </c>
      <c r="D42" s="146">
        <f>'Expenses 2021'!E40</f>
        <v>7911035</v>
      </c>
      <c r="E42" s="165">
        <f t="shared" si="1"/>
        <v>0.2341789937</v>
      </c>
      <c r="F42" s="43"/>
      <c r="G42" s="43"/>
      <c r="H42" s="43"/>
      <c r="I42" s="43"/>
      <c r="J42" s="43"/>
      <c r="K42" s="43"/>
      <c r="L42" s="43"/>
      <c r="M42" s="43"/>
      <c r="N42" s="43"/>
      <c r="O42" s="43"/>
      <c r="P42" s="43"/>
      <c r="Q42" s="43"/>
      <c r="R42" s="43"/>
      <c r="S42" s="43"/>
      <c r="T42" s="43"/>
      <c r="U42" s="43"/>
      <c r="V42" s="43"/>
      <c r="W42" s="43"/>
      <c r="X42" s="43"/>
      <c r="Y42" s="43"/>
    </row>
    <row r="43">
      <c r="A43" s="139"/>
      <c r="B43" s="49"/>
      <c r="C43" s="148" t="s">
        <v>222</v>
      </c>
      <c r="D43" s="146">
        <f>'Expenses 2021'!F40</f>
        <v>1528460</v>
      </c>
      <c r="E43" s="165">
        <f t="shared" si="1"/>
        <v>0.04524480359</v>
      </c>
      <c r="F43" s="43"/>
      <c r="G43" s="43"/>
      <c r="H43" s="43"/>
      <c r="I43" s="43"/>
      <c r="J43" s="43"/>
      <c r="K43" s="43"/>
      <c r="L43" s="43"/>
      <c r="M43" s="43"/>
      <c r="N43" s="43"/>
      <c r="O43" s="43"/>
      <c r="P43" s="43"/>
      <c r="Q43" s="43"/>
      <c r="R43" s="43"/>
      <c r="S43" s="43"/>
      <c r="T43" s="43"/>
      <c r="U43" s="43"/>
      <c r="V43" s="43"/>
      <c r="W43" s="43"/>
      <c r="X43" s="43"/>
      <c r="Y43" s="43"/>
    </row>
    <row r="44">
      <c r="A44" s="139"/>
      <c r="B44" s="49"/>
      <c r="C44" s="145" t="s">
        <v>186</v>
      </c>
      <c r="D44" s="146">
        <f>sum(D41:D43)</f>
        <v>33782001</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223</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224</v>
      </c>
      <c r="C47" s="145" t="s">
        <v>225</v>
      </c>
      <c r="D47" s="146">
        <f>'Revenues 2021'!F9</f>
        <v>34872859</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226</v>
      </c>
      <c r="D48" s="146">
        <f>'Expenses 2021'!F40</f>
        <v>1528460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227</v>
      </c>
      <c r="D49" s="166">
        <f>if(D48=0, "$0",D47/D48)</f>
        <v>22.81568311</v>
      </c>
      <c r="E49" s="150" t="s">
        <v>228</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229</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230</v>
      </c>
      <c r="C52" s="145" t="s">
        <v>231</v>
      </c>
      <c r="D52" s="146">
        <f>sum('Balance Sheet 2021'!E2:E10)</f>
        <v>13844590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232</v>
      </c>
      <c r="D53" s="146">
        <f>sum('Balance Sheet 2021'!E19:E22)</f>
        <v>2543914</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233</v>
      </c>
      <c r="D54" s="168">
        <f>D52/D53</f>
        <v>5.442239793</v>
      </c>
      <c r="E54" s="150" t="s">
        <v>234</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235</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236</v>
      </c>
      <c r="C57" s="145" t="s">
        <v>237</v>
      </c>
      <c r="D57" s="146">
        <f>sum('Balance Sheet 2021'!E25:E26)</f>
        <v>1400000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238</v>
      </c>
      <c r="D58" s="146">
        <f>'Balance Sheet 2021'!E18</f>
        <v>52265676</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239</v>
      </c>
      <c r="D59" s="169">
        <f>D57/D58</f>
        <v>0.02678622199</v>
      </c>
      <c r="E59" s="150" t="s">
        <v>240</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THE DOOR</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1142268.0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1.7532236E7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6330836.0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319795.0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25005340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2474115.0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2474115</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524233.0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824769.0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474684.0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350085</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350085</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241</v>
      </c>
      <c r="D26" s="50">
        <v>5217853.0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4981348.0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236505</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236505</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30875.0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273668.0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-242793</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97</v>
      </c>
      <c r="D39" s="74"/>
      <c r="E39" s="48">
        <v>493635.0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98</v>
      </c>
      <c r="D40" s="74"/>
      <c r="E40" s="48">
        <v>192000.0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99</v>
      </c>
      <c r="D41" s="74"/>
      <c r="E41" s="48">
        <v>153740.0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839375</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29186860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THE DOOR</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1018385</v>
      </c>
      <c r="D7" s="99">
        <v>467428.0</v>
      </c>
      <c r="E7" s="99">
        <v>550957.0</v>
      </c>
      <c r="F7" s="99">
        <v>0.0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16219655</v>
      </c>
      <c r="D9" s="99">
        <v>1.2897355E7</v>
      </c>
      <c r="E9" s="99">
        <v>2309436.0</v>
      </c>
      <c r="F9" s="99">
        <v>1012864.0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536740</v>
      </c>
      <c r="D10" s="99">
        <v>427159.0</v>
      </c>
      <c r="E10" s="99">
        <v>86551.0</v>
      </c>
      <c r="F10" s="99">
        <v>23030.0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4025096</v>
      </c>
      <c r="D11" s="99">
        <v>3237946.0</v>
      </c>
      <c r="E11" s="99">
        <v>620198.0</v>
      </c>
      <c r="F11" s="99">
        <v>166952.0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1273770</v>
      </c>
      <c r="D12" s="99">
        <v>1024309.0</v>
      </c>
      <c r="E12" s="99">
        <v>197032.0</v>
      </c>
      <c r="F12" s="99">
        <v>52429.0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389213</v>
      </c>
      <c r="D15" s="99">
        <v>0.0</v>
      </c>
      <c r="E15" s="99">
        <v>389213.0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1550444</v>
      </c>
      <c r="D16" s="99">
        <v>0.0</v>
      </c>
      <c r="E16" s="99">
        <v>1550444.0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96219</v>
      </c>
      <c r="D19" s="99">
        <v>0.0</v>
      </c>
      <c r="E19" s="99">
        <v>96219.0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2128085</v>
      </c>
      <c r="D20" s="99">
        <v>1315193.0</v>
      </c>
      <c r="E20" s="99">
        <v>712559.0</v>
      </c>
      <c r="F20" s="99">
        <v>100333.0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112382</v>
      </c>
      <c r="D21" s="99">
        <v>68873.0</v>
      </c>
      <c r="E21" s="99">
        <v>24717.0</v>
      </c>
      <c r="F21" s="99">
        <v>18792.0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2231991</v>
      </c>
      <c r="D22" s="99">
        <v>1405812.0</v>
      </c>
      <c r="E22" s="99">
        <v>761397.0</v>
      </c>
      <c r="F22" s="99">
        <v>64782.0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1220468</v>
      </c>
      <c r="D25" s="99">
        <v>1064388.0</v>
      </c>
      <c r="E25" s="99">
        <v>122664.0</v>
      </c>
      <c r="F25" s="99">
        <v>33416.0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92290</v>
      </c>
      <c r="D26" s="99">
        <v>57988.0</v>
      </c>
      <c r="E26" s="99">
        <v>32272.0</v>
      </c>
      <c r="F26" s="99">
        <v>2030.0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186535</v>
      </c>
      <c r="D28" s="99">
        <v>127673.0</v>
      </c>
      <c r="E28" s="99">
        <v>54393.0</v>
      </c>
      <c r="F28" s="99">
        <v>4469.0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1297773</v>
      </c>
      <c r="D31" s="99">
        <v>981116.0</v>
      </c>
      <c r="E31" s="99">
        <v>277724.0</v>
      </c>
      <c r="F31" s="99">
        <v>38933.0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172368</v>
      </c>
      <c r="D32" s="99">
        <v>138186.0</v>
      </c>
      <c r="E32" s="99">
        <v>25117.0</v>
      </c>
      <c r="F32" s="99">
        <v>9065.0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60" t="s">
        <v>137</v>
      </c>
      <c r="C34" s="98">
        <f t="shared" si="1"/>
        <v>642512</v>
      </c>
      <c r="D34" s="99">
        <v>0.0</v>
      </c>
      <c r="E34" s="99">
        <v>642512.0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138</v>
      </c>
      <c r="C35" s="98">
        <f t="shared" si="1"/>
        <v>445866</v>
      </c>
      <c r="D35" s="99">
        <v>427809.0</v>
      </c>
      <c r="E35" s="99">
        <v>18007.0</v>
      </c>
      <c r="F35" s="99">
        <v>50.0</v>
      </c>
      <c r="G35" s="43"/>
      <c r="H35" s="43"/>
      <c r="I35" s="43"/>
      <c r="J35" s="43"/>
      <c r="K35" s="43"/>
      <c r="L35" s="43"/>
      <c r="M35" s="43"/>
      <c r="N35" s="43"/>
      <c r="O35" s="43"/>
      <c r="P35" s="43"/>
      <c r="Q35" s="43"/>
      <c r="R35" s="43"/>
      <c r="S35" s="43"/>
      <c r="T35" s="43"/>
      <c r="U35" s="43"/>
      <c r="V35" s="43"/>
      <c r="W35" s="43"/>
      <c r="X35" s="43"/>
      <c r="Y35" s="43"/>
      <c r="Z35" s="43"/>
    </row>
    <row r="36">
      <c r="A36" s="45" t="s">
        <v>50</v>
      </c>
      <c r="B36" s="60" t="s">
        <v>139</v>
      </c>
      <c r="C36" s="98">
        <f t="shared" si="1"/>
        <v>250481</v>
      </c>
      <c r="D36" s="99">
        <v>243323.0</v>
      </c>
      <c r="E36" s="99">
        <v>7158.0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4">
        <f t="shared" ref="C40:F40" si="2">sum(C3:C39)</f>
        <v>33890273</v>
      </c>
      <c r="D40" s="104">
        <f t="shared" si="2"/>
        <v>23884558</v>
      </c>
      <c r="E40" s="104">
        <f t="shared" si="2"/>
        <v>8478570</v>
      </c>
      <c r="F40" s="104">
        <f t="shared" si="2"/>
        <v>1527145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THE DOOR</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143</v>
      </c>
      <c r="B2" s="45">
        <v>1.0</v>
      </c>
      <c r="C2" s="46" t="s">
        <v>144</v>
      </c>
      <c r="D2" s="111"/>
      <c r="E2" s="112">
        <v>1153136.0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3"/>
      <c r="E3" s="112">
        <v>164917.0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1"/>
      <c r="E4" s="112">
        <v>9512801.0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3"/>
      <c r="E5" s="112">
        <v>297290.0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3"/>
      <c r="E8" s="112">
        <v>54630.0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3"/>
      <c r="E9" s="112">
        <v>34962.0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1"/>
      <c r="E10" s="112">
        <v>145724.0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2">
        <v>3.1310887E7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2">
        <v>1.977241E7</v>
      </c>
      <c r="E12" s="109">
        <f>D11-D12</f>
        <v>11538477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3"/>
      <c r="E13" s="112">
        <v>6311397.0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3"/>
      <c r="E14" s="112">
        <v>1.5699109E7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3"/>
      <c r="E17" s="112">
        <v>5901412.0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4"/>
      <c r="E18" s="115">
        <f>sum(E2:E17)</f>
        <v>50813855</v>
      </c>
      <c r="F18" s="43"/>
      <c r="G18" s="43"/>
      <c r="H18" s="43"/>
      <c r="I18" s="43"/>
      <c r="J18" s="43"/>
      <c r="K18" s="43"/>
      <c r="L18" s="43"/>
      <c r="M18" s="43"/>
      <c r="N18" s="43"/>
      <c r="O18" s="43"/>
      <c r="P18" s="43"/>
      <c r="Q18" s="43"/>
      <c r="R18" s="43"/>
      <c r="S18" s="43"/>
      <c r="T18" s="43"/>
      <c r="U18" s="43"/>
      <c r="V18" s="43"/>
      <c r="W18" s="43"/>
      <c r="X18" s="43"/>
      <c r="Y18" s="43"/>
      <c r="Z18" s="43"/>
    </row>
    <row r="19">
      <c r="A19" s="44" t="s">
        <v>163</v>
      </c>
      <c r="B19" s="116">
        <v>17.0</v>
      </c>
      <c r="C19" s="117" t="s">
        <v>164</v>
      </c>
      <c r="D19" s="118"/>
      <c r="E19" s="112">
        <v>2708809.0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165</v>
      </c>
      <c r="D20" s="118"/>
      <c r="E20" s="112">
        <v>673802.0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166</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167</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168</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169</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170</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171</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172</v>
      </c>
      <c r="D27" s="118"/>
      <c r="E27" s="119">
        <v>5946250.0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173</v>
      </c>
      <c r="D28" s="126"/>
      <c r="E28" s="127">
        <f>sum(E19:E27)</f>
        <v>9328861</v>
      </c>
      <c r="F28" s="43"/>
      <c r="G28" s="43"/>
      <c r="H28" s="43"/>
      <c r="I28" s="43"/>
      <c r="J28" s="43"/>
      <c r="K28" s="43"/>
      <c r="L28" s="43"/>
      <c r="M28" s="43"/>
      <c r="N28" s="43"/>
      <c r="O28" s="43"/>
      <c r="P28" s="43"/>
      <c r="Q28" s="43"/>
      <c r="R28" s="43"/>
      <c r="S28" s="43"/>
      <c r="T28" s="43"/>
      <c r="U28" s="43"/>
      <c r="V28" s="43"/>
      <c r="W28" s="43"/>
      <c r="X28" s="43"/>
      <c r="Y28" s="43"/>
      <c r="Z28" s="43"/>
    </row>
    <row r="29">
      <c r="A29" s="65" t="s">
        <v>174</v>
      </c>
      <c r="B29" s="128"/>
      <c r="C29" s="129" t="s">
        <v>175</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176</v>
      </c>
      <c r="D30" s="118"/>
      <c r="E30" s="112">
        <v>3.7249323E7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177</v>
      </c>
      <c r="D31" s="118"/>
      <c r="E31" s="112">
        <v>4235671.0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178</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179</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180</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181</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182</v>
      </c>
      <c r="D36" s="132"/>
      <c r="E36" s="127">
        <f>sum(E30:E35)</f>
        <v>41484994</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183</v>
      </c>
      <c r="D37" s="136"/>
      <c r="E37" s="137">
        <f>E36+E28</f>
        <v>50813855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