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<sst xmlns="http://schemas.openxmlformats.org/spreadsheetml/2006/main" count="861" uniqueCount="246">
  <si>
    <t>THE END FUND</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</si>
  <si>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</si>
  <si>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</si>
  <si>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</si>
  <si>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</si>
  <si>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</si>
  <si>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</si>
  <si>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</si>
  <si>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</si>
  <si>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</si>
  <si>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</si>
  <si>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</si>
  <si>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</si>
  <si>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</si>
  <si>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</si>
  <si>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</si>
  <si>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</si>
  <si>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</si>
  <si>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</si>
  <si>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</si>
  <si>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</si>
  <si>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</si>
  <si>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</si>
  <si>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</si>
  <si>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</si>
  <si>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</si>
  <si>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</si>
  <si>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</si>
  <si>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</si>
  <si>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</si>
  <si>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</si>
  <si>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</si>
  <si>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</si>
  <si>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</si>
  <si>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</si>
  <si>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</si>
  <si>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</si>
  <si>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</si>
  <si>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</si>
  <si>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</si>
  <si>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</si>
  <si>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</si>
  <si>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</si>
  <si>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</si>
  <si>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</si>
  <si>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</si>
  <si>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</si>
  <si>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</si>
  <si>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</si>
  <si>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</si>
  <si>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</si>
  <si>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</si>
  <si>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</si>
  <si>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</si>
  <si>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</si>
  <si>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</si>
  <si>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</si>
  <si>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</si>
  <si>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</si>
  <si>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</si>
  <si>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</si>
  <si>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</si>
  <si>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</si>
  <si>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</si>
  <si>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</si>
  <si>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</si>
  <si>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</si>
  <si>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</si>
  <si>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</si>
  <si>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</si>
  <si>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</si>
  <si>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</si>
  <si>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</si>
  <si>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</si>
  <si>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</si>
  <si>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</si>
  <si>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</si>
  <si>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</si>
  <si>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</si>
  <si>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</si>
  <si>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</si>
  <si>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</si>
  <si>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</si>
  <si>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</si>
  <si>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</si>
  <si>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</si>
  <si>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</si>
  <si>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</si>
  <si>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</si>
  <si>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</si>
  <si>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</si>
  <si>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</si>
  <si>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</si>
  <si>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</si>
  <si>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</si>
  <si>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</si>
  <si>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</si>
  <si>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</si>
  <si>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</si>
  <si>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</si>
  <si>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</si>
  <si>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</si>
  <si>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</si>
  <si>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</si>
  <si>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</si>
  <si>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</si>
  <si>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</si>
  <si>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</si>
  <si>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</si>
  <si>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</si>
  <si>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</si>
  <si>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</si>
  <si>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</si>
  <si>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</si>
  <si>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</si>
  <si>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</si>
  <si>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</si>
  <si>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</si>
  <si>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</si>
  <si>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</si>
  <si>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</si>
  <si>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</si>
  <si>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</si>
  <si>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</si>
  <si>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</si>
  <si>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</si>
  <si>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</si>
  <si>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</si>
  <si>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</si>
  <si>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</si>
  <si>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</si>
  <si>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</si>
  <si>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</si>
  <si>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FUNDRAISING PLATFORM FEES</t>
  </si>
  <si>
    <t>SUBSCRIPTIONS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</si>
  <si>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</si>
  <si>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</si>
  <si>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</si>
  <si>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</si>
  <si>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</si>
  <si>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</si>
  <si>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</si>
  <si>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</si>
  <si>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</si>
  <si>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</si>
  <si>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</si>
  <si>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</si>
  <si>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</si>
  <si>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</si>
  <si>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</si>
  <si>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</si>
  <si>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</si>
  <si>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</si>
  <si>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</si>
  <si>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</si>
  <si>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</si>
  <si>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</si>
  <si>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</si>
  <si>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</si>
  <si>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</si>
  <si>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</si>
  <si>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</si>
  <si>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</si>
  <si>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</si>
  <si>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</si>
  <si>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</si>
  <si>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</si>
  <si>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</si>
  <si>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</si>
  <si>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</si>
  <si>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</si>
  <si>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</si>
  <si>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</si>
  <si>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</si>
  <si>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</si>
  <si>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</si>
  <si>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</si>
  <si>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</si>
  <si>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</si>
  <si>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</si>
  <si>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</si>
  <si>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</si>
  <si>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</si>
  <si>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</si>
  <si>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</si>
  <si>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</si>
  <si>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</si>
  <si>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</si>
  <si>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</si>
  <si>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</si>
  <si>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</si>
  <si>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</si>
  <si>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</si>
  <si>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</si>
  <si>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</si>
  <si>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</si>
  <si>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</si>
  <si>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</si>
  <si>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</si>
  <si>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</si>
  <si>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</si>
  <si>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</si>
  <si>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</si>
  <si>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</si>
  <si>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</si>
  <si>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</si>
  <si>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</si>
  <si>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</si>
  <si>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</si>
  <si>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</si>
  <si>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</si>
  <si>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</si>
  <si>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</si>
  <si>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</si>
  <si>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</si>
  <si>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</si>
  <si>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</si>
  <si>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</si>
  <si>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</si>
  <si>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</si>
  <si>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</si>
  <si>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</si>
  <si>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</si>
  <si>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</si>
  <si>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</si>
  <si>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</si>
  <si>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</si>
  <si>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</si>
  <si>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</si>
  <si>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</si>
  <si>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</si>
  <si>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</si>
  <si>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</si>
  <si>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</si>
  <si>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</si>
  <si>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</si>
  <si>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</si>
  <si>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</si>
  <si>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OTHER INCOME</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</si>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</sst>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0" fontId="1" numFmtId="3" xfId="0" applyAlignment="1" applyBorder="1" applyFont="1" applyNumberFormat="1">
      <alignment readingOrder="0"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THE END FUND</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2023'!C40</f>
        <v>64042914</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2023'!C31</f>
        <v>16124</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64026790</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5335565.833</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2023'!E2+'Balance Sheet 2023'!E3</f>
        <v>42392680</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7.945301646</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2023'!E30</f>
        <v>296764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2023'!C40</f>
        <v>64042914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5336909.5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0.05560596446</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2023'!C40</f>
        <v>64042914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5336909.5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0</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7.945301646</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2023'!E2:E7,'Revenues 2023'!F10:F15)</f>
        <v>55663487</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2023'!F44</f>
        <v>56392358</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0.987075004</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2023'!C7:C9)</f>
        <v>8700621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2023'!C10:C12)</f>
        <v>2591970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11292591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2023'!C40</f>
        <v>64042914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0.1763285006</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2023'!C10:C11)</f>
        <v>1623925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2023'!C7:C9)</f>
        <v>8700621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0.1866447234</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236</v>
      </c>
      <c r="D41" s="75">
        <f>'Expenses 2023'!D40</f>
        <v>59120408</v>
      </c>
      <c r="E41" s="164">
        <f t="shared" ref="E41:E44" si="1">D41/$D$44</f>
        <v>0.9231373825</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2023'!E40</f>
        <v>2552217</v>
      </c>
      <c r="E42" s="164">
        <f t="shared" si="1"/>
        <v>0.03985166884</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2023'!F40</f>
        <v>2370289</v>
      </c>
      <c r="E43" s="164">
        <f t="shared" si="1"/>
        <v>0.03701094863</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64042914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2023'!F9</f>
        <v>55663487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2023'!F40</f>
        <v>2370289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23.48383973</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2023'!E2:E10)</f>
        <v>47446904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2023'!E19:E22)</f>
        <v>484863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97.85630993</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2023'!E18</f>
        <v>50403877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THE END FUND</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6.1399678E7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61399678</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934656.0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237</v>
      </c>
      <c r="D26" s="50">
        <v>0.0</v>
      </c>
      <c r="E26" s="50">
        <v>20000.0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26000.0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-6000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-6000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175" t="s">
        <v>238</v>
      </c>
      <c r="D39" s="74"/>
      <c r="E39" s="48">
        <v>344548.0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344548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62672882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THE END FUND</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10413483</v>
      </c>
      <c r="D3" s="99">
        <v>1.0413483E7</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40473967</v>
      </c>
      <c r="D5" s="99">
        <v>4.0473967E7</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1129619</v>
      </c>
      <c r="D7" s="99">
        <v>499929.0</v>
      </c>
      <c r="E7" s="99">
        <v>520834.0</v>
      </c>
      <c r="F7" s="99">
        <v>108856.0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8806113</v>
      </c>
      <c r="D9" s="99">
        <v>6729968.0</v>
      </c>
      <c r="E9" s="99">
        <v>424788.0</v>
      </c>
      <c r="F9" s="99">
        <v>1651357.0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249083</v>
      </c>
      <c r="D10" s="99">
        <v>152221.0</v>
      </c>
      <c r="E10" s="99">
        <v>28233.0</v>
      </c>
      <c r="F10" s="99">
        <v>68629.0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1661337</v>
      </c>
      <c r="D11" s="99">
        <v>1106904.0</v>
      </c>
      <c r="E11" s="99">
        <v>204503.0</v>
      </c>
      <c r="F11" s="99">
        <v>349930.0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1200000</v>
      </c>
      <c r="D12" s="99">
        <v>894433.0</v>
      </c>
      <c r="E12" s="99">
        <v>119120.0</v>
      </c>
      <c r="F12" s="99">
        <v>186447.0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46224</v>
      </c>
      <c r="D15" s="99">
        <v>30364.0</v>
      </c>
      <c r="E15" s="99">
        <v>4170.0</v>
      </c>
      <c r="F15" s="99">
        <v>11690.0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84376</v>
      </c>
      <c r="D16" s="99">
        <v>0.0</v>
      </c>
      <c r="E16" s="99">
        <v>84376.0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5845640</v>
      </c>
      <c r="D20" s="99">
        <v>4007092.0</v>
      </c>
      <c r="E20" s="99">
        <v>652688.0</v>
      </c>
      <c r="F20" s="99">
        <v>1185860.0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285298</v>
      </c>
      <c r="D21" s="99">
        <v>168102.0</v>
      </c>
      <c r="E21" s="99">
        <v>160.0</v>
      </c>
      <c r="F21" s="99">
        <v>117036.0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109344</v>
      </c>
      <c r="D22" s="99">
        <v>63737.0</v>
      </c>
      <c r="E22" s="99">
        <v>24617.0</v>
      </c>
      <c r="F22" s="99">
        <v>20990.0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253806</v>
      </c>
      <c r="D23" s="99">
        <v>74596.0</v>
      </c>
      <c r="E23" s="99">
        <v>140462.0</v>
      </c>
      <c r="F23" s="99">
        <v>38748.0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382128</v>
      </c>
      <c r="D25" s="99">
        <v>252710.0</v>
      </c>
      <c r="E25" s="99">
        <v>55452.0</v>
      </c>
      <c r="F25" s="99">
        <v>73966.0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1706447</v>
      </c>
      <c r="D26" s="99">
        <v>1196382.0</v>
      </c>
      <c r="E26" s="99">
        <v>148319.0</v>
      </c>
      <c r="F26" s="99">
        <v>361746.0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1403966</v>
      </c>
      <c r="D28" s="99">
        <v>882769.0</v>
      </c>
      <c r="E28" s="99">
        <v>91034.0</v>
      </c>
      <c r="F28" s="99">
        <v>430163.0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7701</v>
      </c>
      <c r="D31" s="99">
        <v>4527.0</v>
      </c>
      <c r="E31" s="99">
        <v>1451.0</v>
      </c>
      <c r="F31" s="99">
        <v>1723.0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88322</v>
      </c>
      <c r="D32" s="99">
        <v>18328.0</v>
      </c>
      <c r="E32" s="99">
        <v>62884.0</v>
      </c>
      <c r="F32" s="99">
        <v>7110.0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134</v>
      </c>
      <c r="C34" s="98">
        <f t="shared" si="1"/>
        <v>28801</v>
      </c>
      <c r="D34" s="99">
        <v>18408.0</v>
      </c>
      <c r="E34" s="99">
        <v>1765.0</v>
      </c>
      <c r="F34" s="99">
        <v>8628.0</v>
      </c>
      <c r="G34" s="43"/>
      <c r="H34" s="43"/>
      <c r="I34" s="43"/>
      <c r="J34" s="43"/>
      <c r="K34" s="43"/>
      <c r="L34" s="43"/>
      <c r="M34" s="43"/>
      <c r="N34" s="43"/>
      <c r="O34" s="43"/>
      <c r="P34" s="43"/>
      <c r="Q34" s="43"/>
      <c r="R34" s="43"/>
      <c r="S34" s="43"/>
      <c r="T34" s="43"/>
      <c r="U34" s="43"/>
      <c r="V34" s="43"/>
      <c r="W34" s="43"/>
      <c r="X34" s="43"/>
      <c r="Y34" s="43"/>
      <c r="Z34" s="43"/>
    </row>
    <row r="35">
      <c r="A35" s="45" t="s">
        <v>48</v>
      </c>
      <c r="B35" s="102" t="s">
        <v>133</v>
      </c>
      <c r="C35" s="98">
        <f t="shared" si="1"/>
        <v>5902</v>
      </c>
      <c r="D35" s="99">
        <v>0.0</v>
      </c>
      <c r="E35" s="99">
        <v>0.0</v>
      </c>
      <c r="F35" s="99">
        <v>5902.0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74181557</v>
      </c>
      <c r="D40" s="103">
        <f t="shared" si="2"/>
        <v>66987920</v>
      </c>
      <c r="E40" s="103">
        <f t="shared" si="2"/>
        <v>2564856</v>
      </c>
      <c r="F40" s="103">
        <f t="shared" si="2"/>
        <v>4628781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END FUND</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2.5896878E7</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5379952.0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3689911.0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581759.0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343244.0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329834.0</v>
      </c>
      <c r="E12" s="108">
        <f>D11-D12</f>
        <v>13410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3367959.0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38929869</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914148.0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1871942.0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2786090</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-62395.0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3.6206174E7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36143779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38929869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THE END FUND</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2024'!C40</f>
        <v>74181557</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2024'!C31</f>
        <v>7701</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74173856</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6181154.667</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2024'!E2+'Balance Sheet 2024'!E3</f>
        <v>31276830</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5.060030316</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2024'!E30</f>
        <v>-62395</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2024'!C40</f>
        <v>74181557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6181796.417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-0.01009334436</v>
      </c>
      <c r="E14" s="149" t="s">
        <v>185</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2024'!C40</f>
        <v>74181557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6181796.417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0</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5.060030316</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2024'!E2:E7,'Revenues 2024'!F10:F15)</f>
        <v>61399678</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2024'!F44</f>
        <v>62672882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0.9796849298</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2024'!C7:C9)</f>
        <v>9935732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2024'!C10:C12)</f>
        <v>3110420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13046152</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2024'!C40</f>
        <v>74181557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0.1758678643</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2024'!C10:C11)</f>
        <v>1910420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2024'!C7:C9)</f>
        <v>9935732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0.1922777305</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239</v>
      </c>
      <c r="D41" s="75">
        <f>'Expenses 2024'!D40</f>
        <v>66987920</v>
      </c>
      <c r="E41" s="164">
        <f t="shared" ref="E41:E44" si="1">D41/$D$44</f>
        <v>0.9030266108</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2024'!E40</f>
        <v>2564856</v>
      </c>
      <c r="E42" s="164">
        <f t="shared" si="1"/>
        <v>0.03457538644</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2024'!F40</f>
        <v>4628781</v>
      </c>
      <c r="E43" s="164">
        <f t="shared" si="1"/>
        <v>0.06239800278</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74181557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2024'!F9</f>
        <v>61399678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2024'!F40</f>
        <v>4628781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13.26476193</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2024'!E2:E10)</f>
        <v>35548500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2024'!E19:E22)</f>
        <v>914148</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38.88702923</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2024'!E18</f>
        <v>38929869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THE END FUND</v>
      </c>
      <c r="B1" s="2" t="s">
        <v>240</v>
      </c>
      <c r="C1" s="138"/>
      <c r="D1" s="138"/>
      <c r="E1" s="138"/>
      <c r="F1" s="139"/>
      <c r="G1" s="139"/>
      <c r="H1" s="139"/>
      <c r="I1" s="43"/>
      <c r="J1" s="43"/>
      <c r="K1" s="43"/>
      <c r="L1" s="43"/>
      <c r="M1" s="43"/>
      <c r="N1" s="43"/>
      <c r="O1" s="43"/>
      <c r="P1" s="43"/>
      <c r="Q1" s="43"/>
      <c r="R1" s="43"/>
      <c r="S1" s="43"/>
      <c r="T1" s="43"/>
      <c r="U1" s="43"/>
      <c r="V1" s="43"/>
      <c r="W1" s="43"/>
      <c r="X1" s="43"/>
      <c r="Y1" s="43"/>
    </row>
    <row r="2">
      <c r="A2" s="140" t="s">
        <v>178</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179</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241</v>
      </c>
      <c r="E4" s="45" t="s">
        <v>242</v>
      </c>
      <c r="F4" s="45" t="s">
        <v>243</v>
      </c>
      <c r="G4" s="59" t="s">
        <v>244</v>
      </c>
      <c r="H4" s="59"/>
      <c r="I4" s="43"/>
      <c r="J4" s="43"/>
      <c r="K4" s="43"/>
      <c r="L4" s="43"/>
      <c r="M4" s="43"/>
      <c r="N4" s="43"/>
      <c r="O4" s="43"/>
      <c r="P4" s="43"/>
      <c r="Q4" s="43"/>
      <c r="R4" s="43"/>
      <c r="S4" s="43"/>
      <c r="T4" s="43"/>
      <c r="U4" s="43"/>
      <c r="V4" s="43"/>
      <c r="W4" s="43"/>
      <c r="X4" s="43"/>
      <c r="Y4" s="43"/>
    </row>
    <row r="5">
      <c r="A5" s="138"/>
      <c r="B5" s="49"/>
      <c r="C5" s="147" t="s">
        <v>178</v>
      </c>
      <c r="D5" s="177">
        <f>'Ratios 2022'!D8</f>
        <v>10.36945152</v>
      </c>
      <c r="E5" s="177">
        <f>'Ratios 2023'!D8</f>
        <v>7.945301646</v>
      </c>
      <c r="F5" s="177">
        <f>'Ratios 2024'!D8</f>
        <v>5.060030316</v>
      </c>
      <c r="G5" s="177">
        <f>average(D5:F5)</f>
        <v>7.791594493</v>
      </c>
      <c r="H5" s="149" t="s">
        <v>185</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186</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187</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241</v>
      </c>
      <c r="E9" s="45" t="s">
        <v>242</v>
      </c>
      <c r="F9" s="45" t="s">
        <v>243</v>
      </c>
      <c r="G9" s="59" t="s">
        <v>244</v>
      </c>
      <c r="H9" s="59"/>
      <c r="I9" s="43"/>
      <c r="J9" s="43"/>
      <c r="K9" s="43"/>
      <c r="L9" s="43"/>
      <c r="M9" s="43"/>
      <c r="N9" s="43"/>
      <c r="O9" s="43"/>
      <c r="P9" s="43"/>
      <c r="Q9" s="43"/>
      <c r="R9" s="43"/>
      <c r="S9" s="43"/>
      <c r="T9" s="43"/>
      <c r="U9" s="43"/>
      <c r="V9" s="43"/>
      <c r="W9" s="43"/>
      <c r="X9" s="43"/>
      <c r="Y9" s="43"/>
    </row>
    <row r="10">
      <c r="A10" s="138"/>
      <c r="B10" s="49"/>
      <c r="C10" s="147" t="s">
        <v>186</v>
      </c>
      <c r="D10" s="148">
        <f>'Ratios 2022'!D14</f>
        <v>0.3010584075</v>
      </c>
      <c r="E10" s="148">
        <f>'Ratios 2023'!D14</f>
        <v>0.05560596446</v>
      </c>
      <c r="F10" s="148">
        <f>'Ratios 2024'!D14</f>
        <v>-0.01009334436</v>
      </c>
      <c r="G10" s="177">
        <f>average(D10:F10)</f>
        <v>0.1155236759</v>
      </c>
      <c r="H10" s="149" t="s">
        <v>185</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191</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192</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241</v>
      </c>
      <c r="E14" s="45" t="s">
        <v>242</v>
      </c>
      <c r="F14" s="45" t="s">
        <v>243</v>
      </c>
      <c r="G14" s="59" t="s">
        <v>244</v>
      </c>
      <c r="H14" s="59"/>
      <c r="I14" s="43"/>
      <c r="J14" s="43"/>
      <c r="K14" s="43"/>
      <c r="L14" s="43"/>
      <c r="M14" s="43"/>
      <c r="N14" s="43"/>
      <c r="O14" s="43"/>
      <c r="P14" s="43"/>
      <c r="Q14" s="43"/>
      <c r="R14" s="43"/>
      <c r="S14" s="43"/>
      <c r="T14" s="43"/>
      <c r="U14" s="43"/>
      <c r="V14" s="43"/>
      <c r="W14" s="43"/>
      <c r="X14" s="43"/>
      <c r="Y14" s="43"/>
    </row>
    <row r="15">
      <c r="A15" s="138"/>
      <c r="B15" s="49"/>
      <c r="C15" s="147" t="s">
        <v>194</v>
      </c>
      <c r="D15" s="180">
        <f>'Ratios 2022'!D20</f>
        <v>0</v>
      </c>
      <c r="E15" s="180">
        <f>'Ratios 2023'!D20</f>
        <v>0</v>
      </c>
      <c r="F15" s="180">
        <f>'Ratios 2024'!D20</f>
        <v>0</v>
      </c>
      <c r="G15" s="177">
        <f>average(D15:F15)</f>
        <v>0</v>
      </c>
      <c r="H15" s="149" t="s">
        <v>185</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196</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197</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241</v>
      </c>
      <c r="E19" s="45" t="s">
        <v>242</v>
      </c>
      <c r="F19" s="45" t="s">
        <v>243</v>
      </c>
      <c r="G19" s="59" t="s">
        <v>244</v>
      </c>
      <c r="H19" s="59"/>
      <c r="I19" s="43"/>
      <c r="J19" s="43"/>
      <c r="K19" s="43"/>
      <c r="L19" s="43"/>
      <c r="M19" s="43"/>
      <c r="N19" s="43"/>
      <c r="O19" s="43"/>
      <c r="P19" s="43"/>
      <c r="Q19" s="43"/>
      <c r="R19" s="43"/>
      <c r="S19" s="43"/>
      <c r="T19" s="43"/>
      <c r="U19" s="43"/>
      <c r="V19" s="43"/>
      <c r="W19" s="43"/>
      <c r="X19" s="43"/>
      <c r="Y19" s="43"/>
    </row>
    <row r="20">
      <c r="A20" s="138"/>
      <c r="B20" s="49"/>
      <c r="C20" s="147" t="s">
        <v>196</v>
      </c>
      <c r="D20" s="162">
        <f>'Ratios 2022'!D26</f>
        <v>0.9998968987</v>
      </c>
      <c r="E20" s="162">
        <f>'Ratios 2023'!D26</f>
        <v>0.987075004</v>
      </c>
      <c r="F20" s="162">
        <f>'Ratios 2024'!D26</f>
        <v>0.9796849298</v>
      </c>
      <c r="G20" s="181">
        <f>average(D20:F20)</f>
        <v>0.9888856108</v>
      </c>
      <c r="H20" s="149" t="s">
        <v>200</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201</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202</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241</v>
      </c>
      <c r="E24" s="45" t="s">
        <v>242</v>
      </c>
      <c r="F24" s="45" t="s">
        <v>243</v>
      </c>
      <c r="G24" s="59" t="s">
        <v>244</v>
      </c>
      <c r="H24" s="59"/>
      <c r="I24" s="43"/>
      <c r="J24" s="43"/>
      <c r="K24" s="43"/>
      <c r="L24" s="43"/>
      <c r="M24" s="43"/>
      <c r="N24" s="43"/>
      <c r="O24" s="43"/>
      <c r="P24" s="43"/>
      <c r="Q24" s="43"/>
      <c r="R24" s="43"/>
      <c r="S24" s="43"/>
      <c r="T24" s="43"/>
      <c r="U24" s="43"/>
      <c r="V24" s="43"/>
      <c r="W24" s="43"/>
      <c r="X24" s="43"/>
      <c r="Y24" s="43"/>
    </row>
    <row r="25">
      <c r="A25" s="138"/>
      <c r="B25" s="49"/>
      <c r="C25" s="147" t="s">
        <v>206</v>
      </c>
      <c r="D25" s="162">
        <f>'Ratios 2022'!D33</f>
        <v>0.1518649149</v>
      </c>
      <c r="E25" s="162">
        <f>'Ratios 2023'!D33</f>
        <v>0.1763285006</v>
      </c>
      <c r="F25" s="162">
        <f>'Ratios 2024'!D33</f>
        <v>0.1758678643</v>
      </c>
      <c r="G25" s="181">
        <f>average(D25:F25)</f>
        <v>0.1680204266</v>
      </c>
      <c r="H25" s="149" t="s">
        <v>207</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208</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209</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241</v>
      </c>
      <c r="E29" s="45" t="s">
        <v>242</v>
      </c>
      <c r="F29" s="45" t="s">
        <v>243</v>
      </c>
      <c r="G29" s="59" t="s">
        <v>244</v>
      </c>
      <c r="H29" s="59"/>
      <c r="I29" s="43"/>
      <c r="J29" s="43"/>
      <c r="K29" s="43"/>
      <c r="L29" s="43"/>
      <c r="M29" s="43"/>
      <c r="N29" s="43"/>
      <c r="O29" s="43"/>
      <c r="P29" s="43"/>
      <c r="Q29" s="43"/>
      <c r="R29" s="43"/>
      <c r="S29" s="43"/>
      <c r="T29" s="43"/>
      <c r="U29" s="43"/>
      <c r="V29" s="43"/>
      <c r="W29" s="43"/>
      <c r="X29" s="43"/>
      <c r="Y29" s="43"/>
    </row>
    <row r="30">
      <c r="A30" s="138"/>
      <c r="B30" s="49"/>
      <c r="C30" s="147" t="s">
        <v>208</v>
      </c>
      <c r="D30" s="162">
        <f>'Ratios 2022'!D38</f>
        <v>0.1687472535</v>
      </c>
      <c r="E30" s="162">
        <f>'Ratios 2023'!D38</f>
        <v>0.1866447234</v>
      </c>
      <c r="F30" s="162">
        <f>'Ratios 2024'!D38</f>
        <v>0.1922777305</v>
      </c>
      <c r="G30" s="181">
        <f>average(D30:F30)</f>
        <v>0.1825565691</v>
      </c>
      <c r="H30" s="149" t="s">
        <v>211</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212</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213</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241</v>
      </c>
      <c r="E34" s="45" t="s">
        <v>242</v>
      </c>
      <c r="F34" s="45" t="s">
        <v>243</v>
      </c>
      <c r="G34" s="59" t="s">
        <v>244</v>
      </c>
      <c r="H34" s="59"/>
      <c r="I34" s="43"/>
      <c r="J34" s="43"/>
      <c r="K34" s="43"/>
      <c r="L34" s="43"/>
      <c r="M34" s="43"/>
      <c r="N34" s="43"/>
      <c r="O34" s="43"/>
      <c r="P34" s="43"/>
      <c r="Q34" s="43"/>
      <c r="R34" s="43"/>
      <c r="S34" s="43"/>
      <c r="T34" s="43"/>
      <c r="U34" s="43"/>
      <c r="V34" s="43"/>
      <c r="W34" s="43"/>
      <c r="X34" s="43"/>
      <c r="Y34" s="43"/>
    </row>
    <row r="35">
      <c r="A35" s="138"/>
      <c r="B35" s="49"/>
      <c r="C35" s="147" t="s">
        <v>245</v>
      </c>
      <c r="D35" s="162">
        <f>'Ratios 2022'!E41</f>
        <v>0.9275247833</v>
      </c>
      <c r="E35" s="162">
        <f>'Ratios 2023'!E41</f>
        <v>0.9231373825</v>
      </c>
      <c r="F35" s="162">
        <f>'Ratios 2024'!E41</f>
        <v>0.9030266108</v>
      </c>
      <c r="G35" s="181">
        <f t="shared" ref="G35:G37" si="1">average(D35:F35)</f>
        <v>0.9178962589</v>
      </c>
      <c r="H35" s="181"/>
      <c r="I35" s="43"/>
      <c r="J35" s="43"/>
      <c r="K35" s="43"/>
      <c r="L35" s="43"/>
      <c r="M35" s="43"/>
      <c r="N35" s="43"/>
      <c r="O35" s="43"/>
      <c r="P35" s="43"/>
      <c r="Q35" s="43"/>
      <c r="R35" s="43"/>
      <c r="S35" s="43"/>
      <c r="T35" s="43"/>
      <c r="U35" s="43"/>
      <c r="V35" s="43"/>
      <c r="W35" s="43"/>
      <c r="X35" s="43"/>
      <c r="Y35" s="43"/>
    </row>
    <row r="36">
      <c r="A36" s="138"/>
      <c r="B36" s="52"/>
      <c r="C36" s="147" t="s">
        <v>215</v>
      </c>
      <c r="D36" s="162">
        <f>'Ratios 2022'!E42</f>
        <v>0.02761970738</v>
      </c>
      <c r="E36" s="162">
        <f>'Ratios 2023'!E42</f>
        <v>0.03985166884</v>
      </c>
      <c r="F36" s="162">
        <f>'Ratios 2024'!E42</f>
        <v>0.03457538644</v>
      </c>
      <c r="G36" s="181">
        <f t="shared" si="1"/>
        <v>0.03401558755</v>
      </c>
      <c r="H36" s="181"/>
      <c r="I36" s="43"/>
      <c r="J36" s="43"/>
      <c r="K36" s="43"/>
      <c r="L36" s="43"/>
      <c r="M36" s="43"/>
      <c r="N36" s="43"/>
      <c r="O36" s="43"/>
      <c r="P36" s="43"/>
      <c r="Q36" s="43"/>
      <c r="R36" s="43"/>
      <c r="S36" s="43"/>
      <c r="T36" s="43"/>
      <c r="U36" s="43"/>
      <c r="V36" s="43"/>
      <c r="W36" s="43"/>
      <c r="X36" s="43"/>
      <c r="Y36" s="43"/>
    </row>
    <row r="37">
      <c r="A37" s="138"/>
      <c r="B37" s="182"/>
      <c r="C37" s="147" t="s">
        <v>216</v>
      </c>
      <c r="D37" s="162">
        <f>'Ratios 2022'!E43</f>
        <v>0.0448555093</v>
      </c>
      <c r="E37" s="162">
        <f>'Ratios 2023'!E43</f>
        <v>0.03701094863</v>
      </c>
      <c r="F37" s="162">
        <f>'Ratios 2024'!E43</f>
        <v>0.06239800278</v>
      </c>
      <c r="G37" s="181">
        <f t="shared" si="1"/>
        <v>0.04808815357</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217</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218</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241</v>
      </c>
      <c r="E41" s="45" t="s">
        <v>242</v>
      </c>
      <c r="F41" s="45" t="s">
        <v>243</v>
      </c>
      <c r="G41" s="59" t="s">
        <v>244</v>
      </c>
      <c r="H41" s="59"/>
      <c r="I41" s="43"/>
      <c r="J41" s="43"/>
      <c r="K41" s="43"/>
      <c r="L41" s="43"/>
      <c r="M41" s="43"/>
      <c r="N41" s="43"/>
      <c r="O41" s="43"/>
      <c r="P41" s="43"/>
      <c r="Q41" s="43"/>
      <c r="R41" s="43"/>
      <c r="S41" s="43"/>
      <c r="T41" s="43"/>
      <c r="U41" s="43"/>
      <c r="V41" s="43"/>
      <c r="W41" s="43"/>
      <c r="X41" s="43"/>
      <c r="Y41" s="43"/>
    </row>
    <row r="42">
      <c r="A42" s="138"/>
      <c r="B42" s="49"/>
      <c r="C42" s="147" t="s">
        <v>221</v>
      </c>
      <c r="D42" s="165">
        <f>'Ratios 2022'!D49</f>
        <v>29.16103059</v>
      </c>
      <c r="E42" s="165">
        <f>'Ratios 2023'!D49</f>
        <v>23.48383973</v>
      </c>
      <c r="F42" s="165">
        <f>'Ratios 2024'!D49</f>
        <v>13.26476193</v>
      </c>
      <c r="G42" s="183">
        <f>if((D42+E42+F42=0),0,(D42+E42+F42)/3)</f>
        <v>21.96987742</v>
      </c>
      <c r="H42" s="149" t="s">
        <v>222</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223</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224</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241</v>
      </c>
      <c r="E46" s="45" t="s">
        <v>242</v>
      </c>
      <c r="F46" s="45" t="s">
        <v>243</v>
      </c>
      <c r="G46" s="59" t="s">
        <v>244</v>
      </c>
      <c r="H46" s="59"/>
      <c r="I46" s="43"/>
      <c r="J46" s="43"/>
      <c r="K46" s="43"/>
      <c r="L46" s="43"/>
      <c r="M46" s="43"/>
      <c r="N46" s="43"/>
      <c r="O46" s="43"/>
      <c r="P46" s="43"/>
      <c r="Q46" s="43"/>
      <c r="R46" s="43"/>
      <c r="S46" s="43"/>
      <c r="T46" s="43"/>
      <c r="U46" s="43"/>
      <c r="V46" s="43"/>
      <c r="W46" s="43"/>
      <c r="X46" s="43"/>
      <c r="Y46" s="43"/>
    </row>
    <row r="47">
      <c r="A47" s="138"/>
      <c r="B47" s="49"/>
      <c r="C47" s="147" t="s">
        <v>227</v>
      </c>
      <c r="D47" s="148">
        <f>'Ratios 2022'!D54</f>
        <v>220.0948651</v>
      </c>
      <c r="E47" s="148">
        <f>'Ratios 2023'!D54</f>
        <v>97.85630993</v>
      </c>
      <c r="F47" s="148">
        <f>'Ratios 2024'!D54</f>
        <v>38.88702923</v>
      </c>
      <c r="G47" s="177">
        <f>average(D47:F47)</f>
        <v>118.9460681</v>
      </c>
      <c r="H47" s="149" t="s">
        <v>228</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229</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230</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241</v>
      </c>
      <c r="E51" s="45" t="s">
        <v>242</v>
      </c>
      <c r="F51" s="45" t="s">
        <v>243</v>
      </c>
      <c r="G51" s="59" t="s">
        <v>244</v>
      </c>
      <c r="H51" s="59"/>
      <c r="I51" s="43"/>
      <c r="J51" s="43"/>
      <c r="K51" s="43"/>
      <c r="L51" s="43"/>
      <c r="M51" s="43"/>
      <c r="N51" s="43"/>
      <c r="O51" s="43"/>
      <c r="P51" s="43"/>
      <c r="Q51" s="43"/>
      <c r="R51" s="43"/>
      <c r="S51" s="43"/>
      <c r="T51" s="43"/>
      <c r="U51" s="43"/>
      <c r="V51" s="43"/>
      <c r="W51" s="43"/>
      <c r="X51" s="43"/>
      <c r="Y51" s="43"/>
    </row>
    <row r="52">
      <c r="A52" s="138"/>
      <c r="B52" s="49"/>
      <c r="C52" s="147" t="s">
        <v>233</v>
      </c>
      <c r="D52" s="184">
        <f>'Ratios 2022'!D59</f>
        <v>0</v>
      </c>
      <c r="E52" s="184">
        <f>'Ratios 2023'!D59</f>
        <v>0</v>
      </c>
      <c r="F52" s="184">
        <f>'Ratios 2024'!D59</f>
        <v>0</v>
      </c>
      <c r="G52" s="185">
        <f>average(D52:F52)</f>
        <v>0</v>
      </c>
      <c r="H52" s="149" t="s">
        <v>234</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THE END FUND</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THE END FUND</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7.912764E7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79127640</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8159.0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79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96</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79135799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THE END FUND</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13821779</v>
      </c>
      <c r="D3" s="99">
        <v>1.3821779E7</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30633856</v>
      </c>
      <c r="D5" s="99">
        <v>3.0633856E7</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833182</v>
      </c>
      <c r="D7" s="99">
        <v>577715.0</v>
      </c>
      <c r="E7" s="99">
        <v>78555.0</v>
      </c>
      <c r="F7" s="99">
        <v>176912.0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108</v>
      </c>
      <c r="C9" s="98">
        <f t="shared" si="1"/>
        <v>6378165</v>
      </c>
      <c r="D9" s="99">
        <v>4315555.0</v>
      </c>
      <c r="E9" s="99">
        <v>812274.0</v>
      </c>
      <c r="F9" s="99">
        <v>1250336.0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133003</v>
      </c>
      <c r="D10" s="99">
        <v>53597.0</v>
      </c>
      <c r="E10" s="99">
        <v>28204.0</v>
      </c>
      <c r="F10" s="99">
        <v>51202.0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1083892</v>
      </c>
      <c r="D11" s="99">
        <v>728556.0</v>
      </c>
      <c r="E11" s="99">
        <v>142475.0</v>
      </c>
      <c r="F11" s="99">
        <v>212861.0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758616</v>
      </c>
      <c r="D12" s="99">
        <v>548052.0</v>
      </c>
      <c r="E12" s="99">
        <v>91944.0</v>
      </c>
      <c r="F12" s="99">
        <v>118620.0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22237</v>
      </c>
      <c r="D15" s="99">
        <v>15382.0</v>
      </c>
      <c r="E15" s="99">
        <v>2084.0</v>
      </c>
      <c r="F15" s="99">
        <v>4771.0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103565</v>
      </c>
      <c r="D16" s="99">
        <v>22545.0</v>
      </c>
      <c r="E16" s="99">
        <v>81020.0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2505549</v>
      </c>
      <c r="D20" s="99">
        <v>1855992.0</v>
      </c>
      <c r="E20" s="99">
        <v>106140.0</v>
      </c>
      <c r="F20" s="99">
        <v>543417.0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300278</v>
      </c>
      <c r="D21" s="99">
        <v>291055.0</v>
      </c>
      <c r="E21" s="99">
        <v>50.0</v>
      </c>
      <c r="F21" s="99">
        <v>9173.0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160486</v>
      </c>
      <c r="D22" s="99">
        <v>103658.0</v>
      </c>
      <c r="E22" s="99">
        <v>33612.0</v>
      </c>
      <c r="F22" s="99">
        <v>23216.0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209739</v>
      </c>
      <c r="D23" s="99">
        <v>95896.0</v>
      </c>
      <c r="E23" s="99">
        <v>82361.0</v>
      </c>
      <c r="F23" s="99">
        <v>31482.0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465430</v>
      </c>
      <c r="D25" s="99">
        <v>349086.0</v>
      </c>
      <c r="E25" s="99">
        <v>38142.0</v>
      </c>
      <c r="F25" s="99">
        <v>78202.0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1076565</v>
      </c>
      <c r="D26" s="99">
        <v>906406.0</v>
      </c>
      <c r="E26" s="99">
        <v>70423.0</v>
      </c>
      <c r="F26" s="99">
        <v>99736.0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1855945</v>
      </c>
      <c r="D28" s="99">
        <v>1745789.0</v>
      </c>
      <c r="E28" s="99">
        <v>27155.0</v>
      </c>
      <c r="F28" s="99">
        <v>83001.0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68595</v>
      </c>
      <c r="D31" s="99">
        <v>41162.0</v>
      </c>
      <c r="E31" s="99">
        <v>14260.0</v>
      </c>
      <c r="F31" s="99">
        <v>13173.0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61925</v>
      </c>
      <c r="D32" s="99">
        <v>0.0</v>
      </c>
      <c r="E32" s="99">
        <v>61925.0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133</v>
      </c>
      <c r="C34" s="98">
        <f t="shared" si="1"/>
        <v>15495</v>
      </c>
      <c r="D34" s="99">
        <v>0.0</v>
      </c>
      <c r="E34" s="99">
        <v>0.0</v>
      </c>
      <c r="F34" s="99">
        <v>15495.0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5315</v>
      </c>
      <c r="D35" s="99">
        <v>3248.0</v>
      </c>
      <c r="E35" s="99">
        <v>192.0</v>
      </c>
      <c r="F35" s="99">
        <v>1875.0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60493617</v>
      </c>
      <c r="D40" s="103">
        <f t="shared" si="2"/>
        <v>56109329</v>
      </c>
      <c r="E40" s="103">
        <f t="shared" si="2"/>
        <v>1670816</v>
      </c>
      <c r="F40" s="103">
        <f t="shared" si="2"/>
        <v>2713472</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END FUND</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4.9709468E7</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2505060.0</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2624518.0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483339.0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340744.0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306010.0</v>
      </c>
      <c r="E12" s="108">
        <f>D11-D12</f>
        <v>34734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3224548.0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58581667</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251357.0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2523156.0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2774513</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1517676.0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5.4289478E7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55807154</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58581667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THE END FUND</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178</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179</v>
      </c>
      <c r="C3" s="144" t="s">
        <v>180</v>
      </c>
      <c r="D3" s="145">
        <f>'Expenses 2022'!C40</f>
        <v>60493617</v>
      </c>
      <c r="E3" s="146"/>
      <c r="F3" s="43"/>
      <c r="G3" s="43"/>
      <c r="H3" s="43"/>
      <c r="I3" s="43"/>
      <c r="J3" s="43"/>
      <c r="K3" s="43"/>
      <c r="L3" s="43"/>
      <c r="M3" s="43"/>
      <c r="N3" s="43"/>
      <c r="O3" s="43"/>
      <c r="P3" s="43"/>
      <c r="Q3" s="43"/>
      <c r="R3" s="43"/>
      <c r="S3" s="43"/>
      <c r="T3" s="43"/>
      <c r="U3" s="43"/>
      <c r="V3" s="43"/>
      <c r="W3" s="43"/>
      <c r="X3" s="43"/>
      <c r="Y3" s="43"/>
    </row>
    <row r="4">
      <c r="A4" s="138"/>
      <c r="B4" s="49"/>
      <c r="C4" s="144" t="s">
        <v>181</v>
      </c>
      <c r="D4" s="145">
        <f>'Expenses 2022'!C31</f>
        <v>68595</v>
      </c>
      <c r="E4" s="146"/>
      <c r="F4" s="43"/>
      <c r="G4" s="43"/>
      <c r="H4" s="43"/>
      <c r="I4" s="43"/>
      <c r="J4" s="43"/>
      <c r="K4" s="43"/>
      <c r="L4" s="43"/>
      <c r="M4" s="43"/>
      <c r="N4" s="43"/>
      <c r="O4" s="43"/>
      <c r="P4" s="43"/>
      <c r="Q4" s="43"/>
      <c r="R4" s="43"/>
      <c r="S4" s="43"/>
      <c r="T4" s="43"/>
      <c r="U4" s="43"/>
      <c r="V4" s="43"/>
      <c r="W4" s="43"/>
      <c r="X4" s="43"/>
      <c r="Y4" s="43"/>
    </row>
    <row r="5">
      <c r="A5" s="138"/>
      <c r="B5" s="49"/>
      <c r="C5" s="144" t="s">
        <v>182</v>
      </c>
      <c r="D5" s="145">
        <f>D3-D4</f>
        <v>60425022</v>
      </c>
      <c r="E5" s="146"/>
      <c r="F5" s="43"/>
      <c r="G5" s="43"/>
      <c r="H5" s="43"/>
      <c r="I5" s="43"/>
      <c r="J5" s="43"/>
      <c r="K5" s="43"/>
      <c r="L5" s="43"/>
      <c r="M5" s="43"/>
      <c r="N5" s="43"/>
      <c r="O5" s="43"/>
      <c r="P5" s="43"/>
      <c r="Q5" s="43"/>
      <c r="R5" s="43"/>
      <c r="S5" s="43"/>
      <c r="T5" s="43"/>
      <c r="U5" s="43"/>
      <c r="V5" s="43"/>
      <c r="W5" s="43"/>
      <c r="X5" s="43"/>
      <c r="Y5" s="43"/>
    </row>
    <row r="6">
      <c r="A6" s="138"/>
      <c r="B6" s="49"/>
      <c r="C6" s="144" t="s">
        <v>183</v>
      </c>
      <c r="D6" s="145">
        <f>D5/12</f>
        <v>5035418.5</v>
      </c>
      <c r="E6" s="146"/>
      <c r="F6" s="43"/>
      <c r="G6" s="43"/>
      <c r="H6" s="43"/>
      <c r="I6" s="43"/>
      <c r="J6" s="43"/>
      <c r="K6" s="43"/>
      <c r="L6" s="43"/>
      <c r="M6" s="43"/>
      <c r="N6" s="43"/>
      <c r="O6" s="43"/>
      <c r="P6" s="43"/>
      <c r="Q6" s="43"/>
      <c r="R6" s="43"/>
      <c r="S6" s="43"/>
      <c r="T6" s="43"/>
      <c r="U6" s="43"/>
      <c r="V6" s="43"/>
      <c r="W6" s="43"/>
      <c r="X6" s="43"/>
      <c r="Y6" s="43"/>
    </row>
    <row r="7">
      <c r="A7" s="138"/>
      <c r="B7" s="49"/>
      <c r="C7" s="144" t="s">
        <v>184</v>
      </c>
      <c r="D7" s="75">
        <f>'Balance Sheet 2022'!E2+'Balance Sheet 2022'!E3</f>
        <v>52214528</v>
      </c>
      <c r="E7" s="146"/>
      <c r="F7" s="43"/>
      <c r="G7" s="43"/>
      <c r="H7" s="43"/>
      <c r="I7" s="43"/>
      <c r="J7" s="43"/>
      <c r="K7" s="43"/>
      <c r="L7" s="43"/>
      <c r="M7" s="43"/>
      <c r="N7" s="43"/>
      <c r="O7" s="43"/>
      <c r="P7" s="43"/>
      <c r="Q7" s="43"/>
      <c r="R7" s="43"/>
      <c r="S7" s="43"/>
      <c r="T7" s="43"/>
      <c r="U7" s="43"/>
      <c r="V7" s="43"/>
      <c r="W7" s="43"/>
      <c r="X7" s="43"/>
      <c r="Y7" s="43"/>
    </row>
    <row r="8">
      <c r="A8" s="138"/>
      <c r="B8" s="49"/>
      <c r="C8" s="147" t="s">
        <v>178</v>
      </c>
      <c r="D8" s="148">
        <f>D7/D6</f>
        <v>10.36945152</v>
      </c>
      <c r="E8" s="149" t="s">
        <v>185</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186</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187</v>
      </c>
      <c r="C11" s="144" t="s">
        <v>188</v>
      </c>
      <c r="D11" s="75">
        <f>'Balance Sheet 2022'!E30</f>
        <v>1517676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189</v>
      </c>
      <c r="D12" s="75">
        <f>'Expenses 2022'!C40</f>
        <v>60493617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190</v>
      </c>
      <c r="D13" s="145">
        <f>D12/12</f>
        <v>5041134.75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186</v>
      </c>
      <c r="D14" s="148">
        <f>D11/D13</f>
        <v>0.3010584075</v>
      </c>
      <c r="E14" s="149" t="s">
        <v>185</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191</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192</v>
      </c>
      <c r="C17" s="144" t="s">
        <v>193</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189</v>
      </c>
      <c r="D18" s="75">
        <f>'Expenses 2022'!C40</f>
        <v>60493617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190</v>
      </c>
      <c r="D19" s="145">
        <f>D18/12</f>
        <v>5041134.75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194</v>
      </c>
      <c r="D20" s="148">
        <f>D17/D19</f>
        <v>0</v>
      </c>
      <c r="E20" s="149" t="s">
        <v>185</v>
      </c>
      <c r="F20" s="43"/>
      <c r="G20" s="43"/>
      <c r="H20" s="43"/>
      <c r="I20" s="43"/>
      <c r="J20" s="43"/>
      <c r="K20" s="43"/>
      <c r="L20" s="43"/>
      <c r="M20" s="43"/>
      <c r="N20" s="43"/>
      <c r="O20" s="43"/>
      <c r="P20" s="43"/>
      <c r="Q20" s="43"/>
      <c r="R20" s="43"/>
      <c r="S20" s="43"/>
      <c r="T20" s="43"/>
      <c r="U20" s="43"/>
      <c r="V20" s="43"/>
      <c r="W20" s="43"/>
      <c r="X20" s="43"/>
      <c r="Y20" s="43"/>
    </row>
    <row r="21">
      <c r="A21" s="138"/>
      <c r="B21" s="49"/>
      <c r="C21" s="153" t="s">
        <v>195</v>
      </c>
      <c r="D21" s="154">
        <f>D20+D8</f>
        <v>10.36945152</v>
      </c>
      <c r="E21" s="155" t="s">
        <v>185</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196</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197</v>
      </c>
      <c r="C24" s="159"/>
      <c r="D24" s="160">
        <f>max('Revenues 2022'!E2:E7,'Revenues 2022'!F10:F15)</f>
        <v>79127640</v>
      </c>
      <c r="E24" s="161" t="s">
        <v>198</v>
      </c>
      <c r="F24" s="43"/>
      <c r="G24" s="43"/>
      <c r="H24" s="43"/>
      <c r="I24" s="43"/>
      <c r="J24" s="43"/>
      <c r="K24" s="43"/>
      <c r="L24" s="43"/>
      <c r="M24" s="43"/>
      <c r="N24" s="43"/>
      <c r="O24" s="43"/>
      <c r="P24" s="43"/>
      <c r="Q24" s="43"/>
      <c r="R24" s="43"/>
      <c r="S24" s="43"/>
      <c r="T24" s="43"/>
      <c r="U24" s="43"/>
      <c r="V24" s="43"/>
      <c r="W24" s="43"/>
      <c r="X24" s="43"/>
      <c r="Y24" s="43"/>
    </row>
    <row r="25">
      <c r="A25" s="138"/>
      <c r="B25" s="49"/>
      <c r="C25" s="144" t="s">
        <v>199</v>
      </c>
      <c r="D25" s="145">
        <f>'Revenues 2022'!F44</f>
        <v>79135799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196</v>
      </c>
      <c r="D26" s="162">
        <f>D24/D25</f>
        <v>0.9998968987</v>
      </c>
      <c r="E26" s="149" t="s">
        <v>200</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201</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202</v>
      </c>
      <c r="C29" s="144" t="s">
        <v>203</v>
      </c>
      <c r="D29" s="75">
        <f>SUM('Expenses 2022'!C7:C9)</f>
        <v>7211347</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204</v>
      </c>
      <c r="D30" s="75">
        <f>SUM('Expenses 2022'!C10:C12)</f>
        <v>1975511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205</v>
      </c>
      <c r="D31" s="75">
        <f>sum(D29:D30)</f>
        <v>9186858</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180</v>
      </c>
      <c r="D32" s="75">
        <f>'Expenses 2022'!C40</f>
        <v>60493617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206</v>
      </c>
      <c r="D33" s="162">
        <f>D31/D32</f>
        <v>0.1518649149</v>
      </c>
      <c r="E33" s="149" t="s">
        <v>207</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208</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209</v>
      </c>
      <c r="C36" s="144" t="s">
        <v>210</v>
      </c>
      <c r="D36" s="75">
        <f>SUM('Expenses 2022'!C10:C11)</f>
        <v>1216895</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203</v>
      </c>
      <c r="D37" s="75">
        <f>SUM('Expenses 2022'!C7:C9)</f>
        <v>7211347</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208</v>
      </c>
      <c r="D38" s="162">
        <f>D36/D37</f>
        <v>0.1687472535</v>
      </c>
      <c r="E38" s="149" t="s">
        <v>211</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212</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213</v>
      </c>
      <c r="C41" s="147" t="s">
        <v>214</v>
      </c>
      <c r="D41" s="75">
        <f>'Expenses 2022'!D40</f>
        <v>56109329</v>
      </c>
      <c r="E41" s="164">
        <f t="shared" ref="E41:E44" si="1">D41/$D$44</f>
        <v>0.9275247833</v>
      </c>
      <c r="F41" s="43"/>
      <c r="G41" s="43"/>
      <c r="H41" s="43"/>
      <c r="I41" s="43"/>
      <c r="J41" s="43"/>
      <c r="K41" s="43"/>
      <c r="L41" s="43"/>
      <c r="M41" s="43"/>
      <c r="N41" s="43"/>
      <c r="O41" s="43"/>
      <c r="P41" s="43"/>
      <c r="Q41" s="43"/>
      <c r="R41" s="43"/>
      <c r="S41" s="43"/>
      <c r="T41" s="43"/>
      <c r="U41" s="43"/>
      <c r="V41" s="43"/>
      <c r="W41" s="43"/>
      <c r="X41" s="43"/>
      <c r="Y41" s="43"/>
    </row>
    <row r="42">
      <c r="A42" s="138"/>
      <c r="B42" s="49"/>
      <c r="C42" s="147" t="s">
        <v>215</v>
      </c>
      <c r="D42" s="145">
        <f>'Expenses 2022'!E40</f>
        <v>1670816</v>
      </c>
      <c r="E42" s="164">
        <f t="shared" si="1"/>
        <v>0.02761970738</v>
      </c>
      <c r="F42" s="43"/>
      <c r="G42" s="43"/>
      <c r="H42" s="43"/>
      <c r="I42" s="43"/>
      <c r="J42" s="43"/>
      <c r="K42" s="43"/>
      <c r="L42" s="43"/>
      <c r="M42" s="43"/>
      <c r="N42" s="43"/>
      <c r="O42" s="43"/>
      <c r="P42" s="43"/>
      <c r="Q42" s="43"/>
      <c r="R42" s="43"/>
      <c r="S42" s="43"/>
      <c r="T42" s="43"/>
      <c r="U42" s="43"/>
      <c r="V42" s="43"/>
      <c r="W42" s="43"/>
      <c r="X42" s="43"/>
      <c r="Y42" s="43"/>
    </row>
    <row r="43">
      <c r="A43" s="138"/>
      <c r="B43" s="49"/>
      <c r="C43" s="147" t="s">
        <v>216</v>
      </c>
      <c r="D43" s="145">
        <f>'Expenses 2022'!F40</f>
        <v>2713472</v>
      </c>
      <c r="E43" s="164">
        <f t="shared" si="1"/>
        <v>0.0448555093</v>
      </c>
      <c r="F43" s="43"/>
      <c r="G43" s="43"/>
      <c r="H43" s="43"/>
      <c r="I43" s="43"/>
      <c r="J43" s="43"/>
      <c r="K43" s="43"/>
      <c r="L43" s="43"/>
      <c r="M43" s="43"/>
      <c r="N43" s="43"/>
      <c r="O43" s="43"/>
      <c r="P43" s="43"/>
      <c r="Q43" s="43"/>
      <c r="R43" s="43"/>
      <c r="S43" s="43"/>
      <c r="T43" s="43"/>
      <c r="U43" s="43"/>
      <c r="V43" s="43"/>
      <c r="W43" s="43"/>
      <c r="X43" s="43"/>
      <c r="Y43" s="43"/>
    </row>
    <row r="44">
      <c r="A44" s="138"/>
      <c r="B44" s="49"/>
      <c r="C44" s="144" t="s">
        <v>180</v>
      </c>
      <c r="D44" s="145">
        <f>sum(D41:D43)</f>
        <v>60493617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217</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218</v>
      </c>
      <c r="C47" s="144" t="s">
        <v>219</v>
      </c>
      <c r="D47" s="145">
        <f>'Revenues 2022'!F9</f>
        <v>79127640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220</v>
      </c>
      <c r="D48" s="145">
        <f>'Expenses 2022'!F40</f>
        <v>2713472</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221</v>
      </c>
      <c r="D49" s="165">
        <f>if(D48=0, "$0",D47/D48)</f>
        <v>29.16103059</v>
      </c>
      <c r="E49" s="149" t="s">
        <v>222</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223</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224</v>
      </c>
      <c r="C52" s="144" t="s">
        <v>225</v>
      </c>
      <c r="D52" s="145">
        <f>sum('Balance Sheet 2022'!E2:E10)</f>
        <v>55322385</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226</v>
      </c>
      <c r="D53" s="145">
        <f>sum('Balance Sheet 2022'!E19:E22)</f>
        <v>251357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227</v>
      </c>
      <c r="D54" s="167">
        <f>D52/D53</f>
        <v>220.0948651</v>
      </c>
      <c r="E54" s="149" t="s">
        <v>228</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229</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230</v>
      </c>
      <c r="C57" s="144" t="s">
        <v>231</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232</v>
      </c>
      <c r="D58" s="145">
        <f>'Balance Sheet 2022'!E18</f>
        <v>58581667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233</v>
      </c>
      <c r="D59" s="168">
        <f>D57/D58</f>
        <v>0</v>
      </c>
      <c r="E59" s="149" t="s">
        <v>234</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THE END FUND</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5.5663487E7</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182000.0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55663487</v>
      </c>
      <c r="G9" s="58"/>
      <c r="H9" s="58"/>
      <c r="I9" s="58"/>
      <c r="J9" s="58"/>
      <c r="K9" s="58"/>
      <c r="L9" s="58"/>
      <c r="M9" s="58"/>
      <c r="N9" s="58"/>
      <c r="O9" s="58"/>
      <c r="P9" s="58"/>
      <c r="Q9" s="58"/>
      <c r="R9" s="58"/>
      <c r="S9" s="58"/>
      <c r="T9" s="58"/>
      <c r="U9" s="58"/>
      <c r="V9" s="58"/>
      <c r="W9" s="58"/>
      <c r="X9" s="58"/>
      <c r="Y9" s="58"/>
      <c r="Z9" s="58"/>
    </row>
    <row r="10">
      <c r="A10" s="44" t="s">
        <v>62</v>
      </c>
      <c r="B10" s="59" t="s">
        <v>63</v>
      </c>
      <c r="C10" s="60"/>
      <c r="D10" s="15"/>
      <c r="E10" s="15"/>
      <c r="F10" s="48">
        <v>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64</v>
      </c>
      <c r="D16" s="57"/>
      <c r="E16" s="57"/>
      <c r="F16" s="57">
        <f>sum(F10:F15)</f>
        <v>0</v>
      </c>
      <c r="G16" s="58"/>
      <c r="H16" s="58"/>
      <c r="I16" s="58"/>
      <c r="J16" s="58"/>
      <c r="K16" s="58"/>
      <c r="L16" s="58"/>
      <c r="M16" s="58"/>
      <c r="N16" s="58"/>
      <c r="O16" s="58"/>
      <c r="P16" s="58"/>
      <c r="Q16" s="58"/>
      <c r="R16" s="58"/>
      <c r="S16" s="58"/>
      <c r="T16" s="58"/>
      <c r="U16" s="58"/>
      <c r="V16" s="58"/>
      <c r="W16" s="58"/>
      <c r="X16" s="58"/>
      <c r="Y16" s="58"/>
      <c r="Z16" s="58"/>
    </row>
    <row r="17">
      <c r="A17" s="65" t="s">
        <v>65</v>
      </c>
      <c r="B17" s="66">
        <v>3.0</v>
      </c>
      <c r="C17" s="67" t="s">
        <v>66</v>
      </c>
      <c r="D17" s="61"/>
      <c r="E17" s="61"/>
      <c r="F17" s="62">
        <v>696371.0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67</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68</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69</v>
      </c>
      <c r="E20" s="73" t="s">
        <v>70</v>
      </c>
      <c r="F20" s="74"/>
      <c r="G20" s="43"/>
      <c r="H20" s="43"/>
      <c r="I20" s="43"/>
      <c r="J20" s="43"/>
      <c r="K20" s="43"/>
      <c r="L20" s="43"/>
      <c r="M20" s="43"/>
      <c r="N20" s="43"/>
      <c r="O20" s="43"/>
      <c r="P20" s="43"/>
      <c r="Q20" s="43"/>
      <c r="R20" s="43"/>
      <c r="S20" s="43"/>
      <c r="T20" s="43"/>
      <c r="U20" s="43"/>
      <c r="V20" s="43"/>
      <c r="W20" s="43"/>
      <c r="X20" s="43"/>
      <c r="Y20" s="43"/>
      <c r="Z20" s="43"/>
    </row>
    <row r="21">
      <c r="A21" s="49"/>
      <c r="B21" s="59" t="s">
        <v>71</v>
      </c>
      <c r="C21" s="46" t="s">
        <v>72</v>
      </c>
      <c r="D21" s="50">
        <v>0.0</v>
      </c>
      <c r="E21" s="50">
        <v>38500.0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73</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74</v>
      </c>
      <c r="D23" s="75">
        <f t="shared" ref="D23:E23" si="1">D21-D22</f>
        <v>0</v>
      </c>
      <c r="E23" s="75">
        <f t="shared" si="1"/>
        <v>38500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75</v>
      </c>
      <c r="D24" s="56"/>
      <c r="E24" s="56"/>
      <c r="F24" s="57">
        <f>sum(D23:E23)</f>
        <v>38500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76</v>
      </c>
      <c r="E25" s="73" t="s">
        <v>77</v>
      </c>
      <c r="F25" s="74"/>
      <c r="G25" s="76"/>
      <c r="H25" s="43"/>
      <c r="I25" s="43"/>
      <c r="J25" s="43"/>
      <c r="K25" s="43"/>
      <c r="L25" s="43"/>
      <c r="M25" s="43"/>
      <c r="N25" s="43"/>
      <c r="O25" s="43"/>
      <c r="P25" s="43"/>
      <c r="Q25" s="43"/>
      <c r="R25" s="43"/>
      <c r="S25" s="43"/>
      <c r="T25" s="43"/>
      <c r="U25" s="43"/>
      <c r="V25" s="43"/>
      <c r="W25" s="43"/>
      <c r="X25" s="43"/>
      <c r="Y25" s="43"/>
      <c r="Z25" s="43"/>
    </row>
    <row r="26">
      <c r="A26" s="49"/>
      <c r="B26" s="45" t="s">
        <v>78</v>
      </c>
      <c r="C26" s="77" t="s">
        <v>235</v>
      </c>
      <c r="D26" s="50">
        <v>0.0</v>
      </c>
      <c r="E26" s="50">
        <v>20000.0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80</v>
      </c>
      <c r="D27" s="50">
        <v>0.0</v>
      </c>
      <c r="E27" s="50">
        <v>26000.0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81</v>
      </c>
      <c r="D28" s="75">
        <f t="shared" ref="D28:E28" si="2">D26-D27</f>
        <v>0</v>
      </c>
      <c r="E28" s="75">
        <f t="shared" si="2"/>
        <v>-6000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82</v>
      </c>
      <c r="D29" s="57"/>
      <c r="E29" s="57"/>
      <c r="F29" s="57">
        <f>sum(D28:E28)</f>
        <v>-6000</v>
      </c>
      <c r="G29" s="58"/>
      <c r="H29" s="58"/>
      <c r="I29" s="58"/>
      <c r="J29" s="58"/>
      <c r="K29" s="58"/>
      <c r="L29" s="58"/>
      <c r="M29" s="58"/>
      <c r="N29" s="58"/>
      <c r="O29" s="58"/>
      <c r="P29" s="58"/>
      <c r="Q29" s="58"/>
      <c r="R29" s="58"/>
      <c r="S29" s="58"/>
      <c r="T29" s="58"/>
      <c r="U29" s="58"/>
      <c r="V29" s="58"/>
      <c r="W29" s="58"/>
      <c r="X29" s="58"/>
      <c r="Y29" s="58"/>
      <c r="Z29" s="58"/>
    </row>
    <row r="30">
      <c r="A30" s="49"/>
      <c r="B30" s="59" t="s">
        <v>83</v>
      </c>
      <c r="C30" s="51" t="s">
        <v>84</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85</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86</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87</v>
      </c>
      <c r="C33" s="51" t="s">
        <v>88</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89</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90</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91</v>
      </c>
      <c r="C36" s="51" t="s">
        <v>92</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93</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94</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95</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64</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97</v>
      </c>
      <c r="D44" s="88"/>
      <c r="E44" s="88"/>
      <c r="F44" s="89">
        <f>sum(F16:F43)+F9</f>
        <v>56392358</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THE END FUND</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98</v>
      </c>
      <c r="D2" s="42" t="s">
        <v>99</v>
      </c>
      <c r="E2" s="42" t="s">
        <v>100</v>
      </c>
      <c r="F2" s="42" t="s">
        <v>101</v>
      </c>
      <c r="G2" s="43"/>
      <c r="H2" s="43"/>
      <c r="I2" s="43"/>
      <c r="J2" s="43"/>
      <c r="K2" s="43"/>
      <c r="L2" s="43"/>
      <c r="M2" s="43"/>
      <c r="N2" s="43"/>
      <c r="O2" s="43"/>
      <c r="P2" s="43"/>
      <c r="Q2" s="43"/>
      <c r="R2" s="43"/>
      <c r="S2" s="43"/>
      <c r="T2" s="43"/>
      <c r="U2" s="43"/>
      <c r="V2" s="43"/>
      <c r="W2" s="43"/>
      <c r="X2" s="43"/>
      <c r="Y2" s="43"/>
      <c r="Z2" s="43"/>
    </row>
    <row r="3">
      <c r="A3" s="80">
        <v>1.0</v>
      </c>
      <c r="B3" s="96" t="s">
        <v>102</v>
      </c>
      <c r="C3" s="98">
        <f t="shared" ref="C3:C39" si="1">sum(D3:F3)</f>
        <v>9249920</v>
      </c>
      <c r="D3" s="99">
        <v>9249920.0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103</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104</v>
      </c>
      <c r="C5" s="98">
        <f t="shared" si="1"/>
        <v>36174707</v>
      </c>
      <c r="D5" s="99">
        <v>3.6174707E7</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105</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106</v>
      </c>
      <c r="C7" s="98">
        <f t="shared" si="1"/>
        <v>815538</v>
      </c>
      <c r="D7" s="99">
        <v>587187.0</v>
      </c>
      <c r="E7" s="99">
        <v>81554.0</v>
      </c>
      <c r="F7" s="99">
        <v>146797.0</v>
      </c>
      <c r="G7" s="43"/>
      <c r="H7" s="43"/>
      <c r="I7" s="43"/>
      <c r="J7" s="43"/>
      <c r="K7" s="43"/>
      <c r="L7" s="43"/>
      <c r="M7" s="43"/>
      <c r="N7" s="43"/>
      <c r="O7" s="43"/>
      <c r="P7" s="43"/>
      <c r="Q7" s="43"/>
      <c r="R7" s="43"/>
      <c r="S7" s="43"/>
      <c r="T7" s="43"/>
      <c r="U7" s="43"/>
      <c r="V7" s="43"/>
      <c r="W7" s="43"/>
      <c r="X7" s="43"/>
      <c r="Y7" s="43"/>
      <c r="Z7" s="43"/>
    </row>
    <row r="8">
      <c r="A8" s="80">
        <v>6.0</v>
      </c>
      <c r="B8" s="96" t="s">
        <v>107</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108</v>
      </c>
      <c r="C9" s="98">
        <f t="shared" si="1"/>
        <v>7885083</v>
      </c>
      <c r="D9" s="99">
        <v>5760684.0</v>
      </c>
      <c r="E9" s="99">
        <v>1010960.0</v>
      </c>
      <c r="F9" s="99">
        <v>1113439.0</v>
      </c>
      <c r="G9" s="43"/>
      <c r="H9" s="43"/>
      <c r="I9" s="43"/>
      <c r="J9" s="43"/>
      <c r="K9" s="43"/>
      <c r="L9" s="43"/>
      <c r="M9" s="43"/>
      <c r="N9" s="43"/>
      <c r="O9" s="43"/>
      <c r="P9" s="43"/>
      <c r="Q9" s="43"/>
      <c r="R9" s="43"/>
      <c r="S9" s="43"/>
      <c r="T9" s="43"/>
      <c r="U9" s="43"/>
      <c r="V9" s="43"/>
      <c r="W9" s="43"/>
      <c r="X9" s="43"/>
      <c r="Y9" s="43"/>
      <c r="Z9" s="43"/>
    </row>
    <row r="10">
      <c r="A10" s="80">
        <v>8.0</v>
      </c>
      <c r="B10" s="96" t="s">
        <v>109</v>
      </c>
      <c r="C10" s="98">
        <f t="shared" si="1"/>
        <v>218106</v>
      </c>
      <c r="D10" s="99">
        <v>138294.0</v>
      </c>
      <c r="E10" s="99">
        <v>31747.0</v>
      </c>
      <c r="F10" s="99">
        <v>48065.0</v>
      </c>
      <c r="G10" s="43"/>
      <c r="H10" s="43"/>
      <c r="I10" s="43"/>
      <c r="J10" s="43"/>
      <c r="K10" s="43"/>
      <c r="L10" s="43"/>
      <c r="M10" s="43"/>
      <c r="N10" s="43"/>
      <c r="O10" s="43"/>
      <c r="P10" s="43"/>
      <c r="Q10" s="43"/>
      <c r="R10" s="43"/>
      <c r="S10" s="43"/>
      <c r="T10" s="43"/>
      <c r="U10" s="43"/>
      <c r="V10" s="43"/>
      <c r="W10" s="43"/>
      <c r="X10" s="43"/>
      <c r="Y10" s="43"/>
      <c r="Z10" s="43"/>
    </row>
    <row r="11">
      <c r="A11" s="45">
        <v>9.0</v>
      </c>
      <c r="B11" s="46" t="s">
        <v>110</v>
      </c>
      <c r="C11" s="98">
        <f t="shared" si="1"/>
        <v>1405819</v>
      </c>
      <c r="D11" s="99">
        <v>962731.0</v>
      </c>
      <c r="E11" s="99">
        <v>184257.0</v>
      </c>
      <c r="F11" s="99">
        <v>258831.0</v>
      </c>
      <c r="G11" s="43"/>
      <c r="H11" s="43"/>
      <c r="I11" s="43"/>
      <c r="J11" s="43"/>
      <c r="K11" s="43"/>
      <c r="L11" s="43"/>
      <c r="M11" s="43"/>
      <c r="N11" s="43"/>
      <c r="O11" s="43"/>
      <c r="P11" s="43"/>
      <c r="Q11" s="43"/>
      <c r="R11" s="43"/>
      <c r="S11" s="43"/>
      <c r="T11" s="43"/>
      <c r="U11" s="43"/>
      <c r="V11" s="43"/>
      <c r="W11" s="43"/>
      <c r="X11" s="43"/>
      <c r="Y11" s="43"/>
      <c r="Z11" s="43"/>
    </row>
    <row r="12">
      <c r="A12" s="45">
        <v>10.0</v>
      </c>
      <c r="B12" s="46" t="s">
        <v>111</v>
      </c>
      <c r="C12" s="98">
        <f t="shared" si="1"/>
        <v>968045</v>
      </c>
      <c r="D12" s="99">
        <v>691015.0</v>
      </c>
      <c r="E12" s="99">
        <v>153565.0</v>
      </c>
      <c r="F12" s="99">
        <v>123465.0</v>
      </c>
      <c r="G12" s="43"/>
      <c r="H12" s="43"/>
      <c r="I12" s="43"/>
      <c r="J12" s="43"/>
      <c r="K12" s="43"/>
      <c r="L12" s="43"/>
      <c r="M12" s="43"/>
      <c r="N12" s="43"/>
      <c r="O12" s="43"/>
      <c r="P12" s="43"/>
      <c r="Q12" s="43"/>
      <c r="R12" s="43"/>
      <c r="S12" s="43"/>
      <c r="T12" s="43"/>
      <c r="U12" s="43"/>
      <c r="V12" s="43"/>
      <c r="W12" s="43"/>
      <c r="X12" s="43"/>
      <c r="Y12" s="43"/>
      <c r="Z12" s="43"/>
    </row>
    <row r="13">
      <c r="A13" s="45">
        <v>11.0</v>
      </c>
      <c r="B13" s="46" t="s">
        <v>112</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113</v>
      </c>
      <c r="B14" s="46" t="s">
        <v>114</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115</v>
      </c>
      <c r="C15" s="98">
        <f t="shared" si="1"/>
        <v>31794</v>
      </c>
      <c r="D15" s="99">
        <v>4909.0</v>
      </c>
      <c r="E15" s="99">
        <v>3272.0</v>
      </c>
      <c r="F15" s="99">
        <v>23613.0</v>
      </c>
      <c r="G15" s="43"/>
      <c r="H15" s="43"/>
      <c r="I15" s="43"/>
      <c r="J15" s="43"/>
      <c r="K15" s="43"/>
      <c r="L15" s="43"/>
      <c r="M15" s="43"/>
      <c r="N15" s="43"/>
      <c r="O15" s="43"/>
      <c r="P15" s="43"/>
      <c r="Q15" s="43"/>
      <c r="R15" s="43"/>
      <c r="S15" s="43"/>
      <c r="T15" s="43"/>
      <c r="U15" s="43"/>
      <c r="V15" s="43"/>
      <c r="W15" s="43"/>
      <c r="X15" s="43"/>
      <c r="Y15" s="43"/>
      <c r="Z15" s="43"/>
    </row>
    <row r="16">
      <c r="A16" s="45" t="s">
        <v>50</v>
      </c>
      <c r="B16" s="46" t="s">
        <v>116</v>
      </c>
      <c r="C16" s="98">
        <f t="shared" si="1"/>
        <v>46642</v>
      </c>
      <c r="D16" s="99">
        <v>0.0</v>
      </c>
      <c r="E16" s="99">
        <v>46642.0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117</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118</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119</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120</v>
      </c>
      <c r="C20" s="98">
        <f t="shared" si="1"/>
        <v>2737992</v>
      </c>
      <c r="D20" s="99">
        <v>1929566.0</v>
      </c>
      <c r="E20" s="99">
        <v>563425.0</v>
      </c>
      <c r="F20" s="99">
        <v>245001.0</v>
      </c>
      <c r="G20" s="43"/>
      <c r="H20" s="43"/>
      <c r="I20" s="43"/>
      <c r="J20" s="43"/>
      <c r="K20" s="43"/>
      <c r="L20" s="43"/>
      <c r="M20" s="43"/>
      <c r="N20" s="43"/>
      <c r="O20" s="43"/>
      <c r="P20" s="43"/>
      <c r="Q20" s="43"/>
      <c r="R20" s="43"/>
      <c r="S20" s="43"/>
      <c r="T20" s="43"/>
      <c r="U20" s="43"/>
      <c r="V20" s="43"/>
      <c r="W20" s="43"/>
      <c r="X20" s="43"/>
      <c r="Y20" s="43"/>
      <c r="Z20" s="43"/>
    </row>
    <row r="21">
      <c r="A21" s="45">
        <v>12.0</v>
      </c>
      <c r="B21" s="46" t="s">
        <v>121</v>
      </c>
      <c r="C21" s="98">
        <f t="shared" si="1"/>
        <v>406978</v>
      </c>
      <c r="D21" s="99">
        <v>397625.0</v>
      </c>
      <c r="E21" s="99">
        <v>28.0</v>
      </c>
      <c r="F21" s="99">
        <v>9325.0</v>
      </c>
      <c r="G21" s="43"/>
      <c r="H21" s="43"/>
      <c r="I21" s="43"/>
      <c r="J21" s="43"/>
      <c r="K21" s="43"/>
      <c r="L21" s="43"/>
      <c r="M21" s="43"/>
      <c r="N21" s="43"/>
      <c r="O21" s="43"/>
      <c r="P21" s="43"/>
      <c r="Q21" s="43"/>
      <c r="R21" s="43"/>
      <c r="S21" s="43"/>
      <c r="T21" s="43"/>
      <c r="U21" s="43"/>
      <c r="V21" s="43"/>
      <c r="W21" s="43"/>
      <c r="X21" s="43"/>
      <c r="Y21" s="43"/>
      <c r="Z21" s="43"/>
    </row>
    <row r="22">
      <c r="A22" s="45">
        <v>13.0</v>
      </c>
      <c r="B22" s="46" t="s">
        <v>122</v>
      </c>
      <c r="C22" s="98">
        <f t="shared" si="1"/>
        <v>134311</v>
      </c>
      <c r="D22" s="99">
        <v>95043.0</v>
      </c>
      <c r="E22" s="99">
        <v>20393.0</v>
      </c>
      <c r="F22" s="99">
        <v>18875.0</v>
      </c>
      <c r="G22" s="43"/>
      <c r="H22" s="43"/>
      <c r="I22" s="43"/>
      <c r="J22" s="43"/>
      <c r="K22" s="43"/>
      <c r="L22" s="43"/>
      <c r="M22" s="43"/>
      <c r="N22" s="43"/>
      <c r="O22" s="43"/>
      <c r="P22" s="43"/>
      <c r="Q22" s="43"/>
      <c r="R22" s="43"/>
      <c r="S22" s="43"/>
      <c r="T22" s="43"/>
      <c r="U22" s="43"/>
      <c r="V22" s="43"/>
      <c r="W22" s="43"/>
      <c r="X22" s="43"/>
      <c r="Y22" s="43"/>
      <c r="Z22" s="43"/>
    </row>
    <row r="23">
      <c r="A23" s="45">
        <v>14.0</v>
      </c>
      <c r="B23" s="46" t="s">
        <v>123</v>
      </c>
      <c r="C23" s="98">
        <f t="shared" si="1"/>
        <v>237106</v>
      </c>
      <c r="D23" s="99">
        <v>97579.0</v>
      </c>
      <c r="E23" s="99">
        <v>111935.0</v>
      </c>
      <c r="F23" s="99">
        <v>27592.0</v>
      </c>
      <c r="G23" s="43"/>
      <c r="H23" s="43"/>
      <c r="I23" s="43"/>
      <c r="J23" s="43"/>
      <c r="K23" s="43"/>
      <c r="L23" s="43"/>
      <c r="M23" s="43"/>
      <c r="N23" s="43"/>
      <c r="O23" s="43"/>
      <c r="P23" s="43"/>
      <c r="Q23" s="43"/>
      <c r="R23" s="43"/>
      <c r="S23" s="43"/>
      <c r="T23" s="43"/>
      <c r="U23" s="43"/>
      <c r="V23" s="43"/>
      <c r="W23" s="43"/>
      <c r="X23" s="43"/>
      <c r="Y23" s="43"/>
      <c r="Z23" s="43"/>
    </row>
    <row r="24">
      <c r="A24" s="45">
        <v>15.0</v>
      </c>
      <c r="B24" s="46" t="s">
        <v>68</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124</v>
      </c>
      <c r="C25" s="98">
        <f t="shared" si="1"/>
        <v>333608</v>
      </c>
      <c r="D25" s="99">
        <v>256970.0</v>
      </c>
      <c r="E25" s="99">
        <v>30655.0</v>
      </c>
      <c r="F25" s="99">
        <v>45983.0</v>
      </c>
      <c r="G25" s="43"/>
      <c r="H25" s="43"/>
      <c r="I25" s="43"/>
      <c r="J25" s="43"/>
      <c r="K25" s="43"/>
      <c r="L25" s="43"/>
      <c r="M25" s="43"/>
      <c r="N25" s="43"/>
      <c r="O25" s="43"/>
      <c r="P25" s="43"/>
      <c r="Q25" s="43"/>
      <c r="R25" s="43"/>
      <c r="S25" s="43"/>
      <c r="T25" s="43"/>
      <c r="U25" s="43"/>
      <c r="V25" s="43"/>
      <c r="W25" s="43"/>
      <c r="X25" s="43"/>
      <c r="Y25" s="43"/>
      <c r="Z25" s="43"/>
    </row>
    <row r="26">
      <c r="A26" s="45">
        <v>17.0</v>
      </c>
      <c r="B26" s="46" t="s">
        <v>125</v>
      </c>
      <c r="C26" s="98">
        <f t="shared" si="1"/>
        <v>1923286</v>
      </c>
      <c r="D26" s="99">
        <v>1513965.0</v>
      </c>
      <c r="E26" s="99">
        <v>188493.0</v>
      </c>
      <c r="F26" s="99">
        <v>220828.0</v>
      </c>
      <c r="G26" s="43"/>
      <c r="H26" s="43"/>
      <c r="I26" s="43"/>
      <c r="J26" s="43"/>
      <c r="K26" s="43"/>
      <c r="L26" s="43"/>
      <c r="M26" s="43"/>
      <c r="N26" s="43"/>
      <c r="O26" s="43"/>
      <c r="P26" s="43"/>
      <c r="Q26" s="43"/>
      <c r="R26" s="43"/>
      <c r="S26" s="43"/>
      <c r="T26" s="43"/>
      <c r="U26" s="43"/>
      <c r="V26" s="43"/>
      <c r="W26" s="43"/>
      <c r="X26" s="43"/>
      <c r="Y26" s="43"/>
      <c r="Z26" s="43"/>
    </row>
    <row r="27">
      <c r="A27" s="80">
        <v>18.0</v>
      </c>
      <c r="B27" s="96" t="s">
        <v>126</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127</v>
      </c>
      <c r="C28" s="98">
        <f t="shared" si="1"/>
        <v>1363022</v>
      </c>
      <c r="D28" s="99">
        <v>1244380.0</v>
      </c>
      <c r="E28" s="99">
        <v>36577.0</v>
      </c>
      <c r="F28" s="99">
        <v>82065.0</v>
      </c>
      <c r="G28" s="43"/>
      <c r="H28" s="43"/>
      <c r="I28" s="43"/>
      <c r="J28" s="43"/>
      <c r="K28" s="43"/>
      <c r="L28" s="43"/>
      <c r="M28" s="43"/>
      <c r="N28" s="43"/>
      <c r="O28" s="43"/>
      <c r="P28" s="43"/>
      <c r="Q28" s="43"/>
      <c r="R28" s="43"/>
      <c r="S28" s="43"/>
      <c r="T28" s="43"/>
      <c r="U28" s="43"/>
      <c r="V28" s="43"/>
      <c r="W28" s="43"/>
      <c r="X28" s="43"/>
      <c r="Y28" s="43"/>
      <c r="Z28" s="43"/>
    </row>
    <row r="29">
      <c r="A29" s="45">
        <v>20.0</v>
      </c>
      <c r="B29" s="46" t="s">
        <v>128</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129</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130</v>
      </c>
      <c r="C31" s="98">
        <f t="shared" si="1"/>
        <v>16124</v>
      </c>
      <c r="D31" s="99">
        <v>6666.0</v>
      </c>
      <c r="E31" s="99">
        <v>8033.0</v>
      </c>
      <c r="F31" s="99">
        <v>1425.0</v>
      </c>
      <c r="G31" s="43"/>
      <c r="H31" s="43"/>
      <c r="I31" s="43"/>
      <c r="J31" s="43"/>
      <c r="K31" s="43"/>
      <c r="L31" s="43"/>
      <c r="M31" s="43"/>
      <c r="N31" s="43"/>
      <c r="O31" s="43"/>
      <c r="P31" s="43"/>
      <c r="Q31" s="43"/>
      <c r="R31" s="43"/>
      <c r="S31" s="43"/>
      <c r="T31" s="43"/>
      <c r="U31" s="43"/>
      <c r="V31" s="43"/>
      <c r="W31" s="43"/>
      <c r="X31" s="43"/>
      <c r="Y31" s="43"/>
      <c r="Z31" s="43"/>
    </row>
    <row r="32">
      <c r="A32" s="45">
        <v>23.0</v>
      </c>
      <c r="B32" s="46" t="s">
        <v>131</v>
      </c>
      <c r="C32" s="98">
        <f t="shared" si="1"/>
        <v>79875</v>
      </c>
      <c r="D32" s="99">
        <v>0.0</v>
      </c>
      <c r="E32" s="99">
        <v>79875.0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132</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113</v>
      </c>
      <c r="B34" s="46" t="s">
        <v>134</v>
      </c>
      <c r="C34" s="98">
        <f t="shared" si="1"/>
        <v>14191</v>
      </c>
      <c r="D34" s="99">
        <v>9167.0</v>
      </c>
      <c r="E34" s="99">
        <v>806.0</v>
      </c>
      <c r="F34" s="99">
        <v>4218.0</v>
      </c>
      <c r="G34" s="43"/>
      <c r="H34" s="43"/>
      <c r="I34" s="43"/>
      <c r="J34" s="43"/>
      <c r="K34" s="43"/>
      <c r="L34" s="43"/>
      <c r="M34" s="43"/>
      <c r="N34" s="43"/>
      <c r="O34" s="43"/>
      <c r="P34" s="43"/>
      <c r="Q34" s="43"/>
      <c r="R34" s="43"/>
      <c r="S34" s="43"/>
      <c r="T34" s="43"/>
      <c r="U34" s="43"/>
      <c r="V34" s="43"/>
      <c r="W34" s="43"/>
      <c r="X34" s="43"/>
      <c r="Y34" s="43"/>
      <c r="Z34" s="43"/>
    </row>
    <row r="35">
      <c r="A35" s="45" t="s">
        <v>48</v>
      </c>
      <c r="B35" s="102" t="s">
        <v>133</v>
      </c>
      <c r="C35" s="98">
        <f t="shared" si="1"/>
        <v>767</v>
      </c>
      <c r="D35" s="99">
        <v>0.0</v>
      </c>
      <c r="E35" s="99">
        <v>0.0</v>
      </c>
      <c r="F35" s="99">
        <v>767.0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135</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136</v>
      </c>
      <c r="C40" s="103">
        <f t="shared" ref="C40:F40" si="2">sum(C3:C39)</f>
        <v>64042914</v>
      </c>
      <c r="D40" s="103">
        <f t="shared" si="2"/>
        <v>59120408</v>
      </c>
      <c r="E40" s="103">
        <f t="shared" si="2"/>
        <v>2552217</v>
      </c>
      <c r="F40" s="103">
        <f t="shared" si="2"/>
        <v>2370289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THE END FUND</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137</v>
      </c>
      <c r="B2" s="45">
        <v>1.0</v>
      </c>
      <c r="C2" s="46" t="s">
        <v>138</v>
      </c>
      <c r="D2" s="110"/>
      <c r="E2" s="111">
        <v>2.1352154E7</v>
      </c>
      <c r="F2" s="43"/>
      <c r="G2" s="43"/>
      <c r="H2" s="43"/>
      <c r="I2" s="43"/>
      <c r="J2" s="43"/>
      <c r="K2" s="43"/>
      <c r="L2" s="43"/>
      <c r="M2" s="43"/>
      <c r="N2" s="43"/>
      <c r="O2" s="43"/>
      <c r="P2" s="43"/>
      <c r="Q2" s="43"/>
      <c r="R2" s="43"/>
      <c r="S2" s="43"/>
      <c r="T2" s="43"/>
      <c r="U2" s="43"/>
      <c r="V2" s="43"/>
      <c r="W2" s="43"/>
      <c r="X2" s="43"/>
      <c r="Y2" s="43"/>
      <c r="Z2" s="43"/>
    </row>
    <row r="3">
      <c r="A3" s="49"/>
      <c r="B3" s="45">
        <v>2.0</v>
      </c>
      <c r="C3" s="46" t="s">
        <v>139</v>
      </c>
      <c r="D3" s="112"/>
      <c r="E3" s="111">
        <v>2.1040526E7</v>
      </c>
      <c r="F3" s="43"/>
      <c r="G3" s="43"/>
      <c r="H3" s="43"/>
      <c r="I3" s="43"/>
      <c r="J3" s="43"/>
      <c r="K3" s="43"/>
      <c r="L3" s="43"/>
      <c r="M3" s="43"/>
      <c r="N3" s="43"/>
      <c r="O3" s="43"/>
      <c r="P3" s="43"/>
      <c r="Q3" s="43"/>
      <c r="R3" s="43"/>
      <c r="S3" s="43"/>
      <c r="T3" s="43"/>
      <c r="U3" s="43"/>
      <c r="V3" s="43"/>
      <c r="W3" s="43"/>
      <c r="X3" s="43"/>
      <c r="Y3" s="43"/>
      <c r="Z3" s="43"/>
    </row>
    <row r="4">
      <c r="A4" s="49"/>
      <c r="B4" s="45">
        <v>3.0</v>
      </c>
      <c r="C4" s="46" t="s">
        <v>140</v>
      </c>
      <c r="D4" s="110"/>
      <c r="E4" s="111">
        <v>4351235.0</v>
      </c>
      <c r="F4" s="43"/>
      <c r="G4" s="43"/>
      <c r="H4" s="43"/>
      <c r="I4" s="43"/>
      <c r="J4" s="43"/>
      <c r="K4" s="43"/>
      <c r="L4" s="43"/>
      <c r="M4" s="43"/>
      <c r="N4" s="43"/>
      <c r="O4" s="43"/>
      <c r="P4" s="43"/>
      <c r="Q4" s="43"/>
      <c r="R4" s="43"/>
      <c r="S4" s="43"/>
      <c r="T4" s="43"/>
      <c r="U4" s="43"/>
      <c r="V4" s="43"/>
      <c r="W4" s="43"/>
      <c r="X4" s="43"/>
      <c r="Y4" s="43"/>
      <c r="Z4" s="43"/>
    </row>
    <row r="5">
      <c r="A5" s="49"/>
      <c r="B5" s="45">
        <v>4.0</v>
      </c>
      <c r="C5" s="46" t="s">
        <v>141</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142</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143</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144</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145</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146</v>
      </c>
      <c r="D10" s="110"/>
      <c r="E10" s="111">
        <v>702989.0</v>
      </c>
      <c r="F10" s="43"/>
      <c r="G10" s="43"/>
      <c r="H10" s="43"/>
      <c r="I10" s="43"/>
      <c r="J10" s="43"/>
      <c r="K10" s="43"/>
      <c r="L10" s="43"/>
      <c r="M10" s="43"/>
      <c r="N10" s="43"/>
      <c r="O10" s="43"/>
      <c r="P10" s="43"/>
      <c r="Q10" s="43"/>
      <c r="R10" s="43"/>
      <c r="S10" s="43"/>
      <c r="T10" s="43"/>
      <c r="U10" s="43"/>
      <c r="V10" s="43"/>
      <c r="W10" s="43"/>
      <c r="X10" s="43"/>
      <c r="Y10" s="43"/>
      <c r="Z10" s="43"/>
    </row>
    <row r="11">
      <c r="A11" s="49"/>
      <c r="B11" s="45" t="s">
        <v>147</v>
      </c>
      <c r="C11" s="46" t="s">
        <v>148</v>
      </c>
      <c r="D11" s="111">
        <v>343244.0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149</v>
      </c>
      <c r="C12" s="46" t="s">
        <v>150</v>
      </c>
      <c r="D12" s="111">
        <v>322133.0</v>
      </c>
      <c r="E12" s="108">
        <f>D11-D12</f>
        <v>21111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151</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152</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153</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154</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155</v>
      </c>
      <c r="D17" s="112"/>
      <c r="E17" s="111">
        <v>2935862.0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156</v>
      </c>
      <c r="D18" s="113"/>
      <c r="E18" s="114">
        <f>sum(E2:E17)</f>
        <v>50403877</v>
      </c>
      <c r="F18" s="43"/>
      <c r="G18" s="43"/>
      <c r="H18" s="43"/>
      <c r="I18" s="43"/>
      <c r="J18" s="43"/>
      <c r="K18" s="43"/>
      <c r="L18" s="43"/>
      <c r="M18" s="43"/>
      <c r="N18" s="43"/>
      <c r="O18" s="43"/>
      <c r="P18" s="43"/>
      <c r="Q18" s="43"/>
      <c r="R18" s="43"/>
      <c r="S18" s="43"/>
      <c r="T18" s="43"/>
      <c r="U18" s="43"/>
      <c r="V18" s="43"/>
      <c r="W18" s="43"/>
      <c r="X18" s="43"/>
      <c r="Y18" s="43"/>
      <c r="Z18" s="43"/>
    </row>
    <row r="19">
      <c r="A19" s="44" t="s">
        <v>157</v>
      </c>
      <c r="B19" s="115">
        <v>17.0</v>
      </c>
      <c r="C19" s="116" t="s">
        <v>158</v>
      </c>
      <c r="D19" s="117"/>
      <c r="E19" s="111">
        <v>484863.0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159</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160</v>
      </c>
      <c r="D21" s="117"/>
      <c r="E21" s="111">
        <v>0.0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161</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162</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163</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164</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165</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166</v>
      </c>
      <c r="D27" s="117"/>
      <c r="E27" s="118">
        <v>2200071.0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167</v>
      </c>
      <c r="D28" s="125"/>
      <c r="E28" s="126">
        <f>sum(E19:E27)</f>
        <v>2684934</v>
      </c>
      <c r="F28" s="43"/>
      <c r="G28" s="43"/>
      <c r="H28" s="43"/>
      <c r="I28" s="43"/>
      <c r="J28" s="43"/>
      <c r="K28" s="43"/>
      <c r="L28" s="43"/>
      <c r="M28" s="43"/>
      <c r="N28" s="43"/>
      <c r="O28" s="43"/>
      <c r="P28" s="43"/>
      <c r="Q28" s="43"/>
      <c r="R28" s="43"/>
      <c r="S28" s="43"/>
      <c r="T28" s="43"/>
      <c r="U28" s="43"/>
      <c r="V28" s="43"/>
      <c r="W28" s="43"/>
      <c r="X28" s="43"/>
      <c r="Y28" s="43"/>
      <c r="Z28" s="43"/>
    </row>
    <row r="29">
      <c r="A29" s="65" t="s">
        <v>168</v>
      </c>
      <c r="B29" s="127"/>
      <c r="C29" s="128" t="s">
        <v>169</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170</v>
      </c>
      <c r="D30" s="117"/>
      <c r="E30" s="111">
        <v>296764.0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171</v>
      </c>
      <c r="D31" s="117"/>
      <c r="E31" s="111">
        <v>4.7422179E7</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172</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173</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174</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175</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176</v>
      </c>
      <c r="D36" s="131"/>
      <c r="E36" s="126">
        <f>sum(E30:E35)</f>
        <v>47718943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177</v>
      </c>
      <c r="D37" s="135"/>
      <c r="E37" s="136">
        <f>E36+E28</f>
        <v>50403877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