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<sst xmlns="http://schemas.openxmlformats.org/spreadsheetml/2006/main" count="877" uniqueCount="259">
  <si>
    <t>COMMUNITY FOUNDATION FOR NE FLORIDA</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</si>
  <si>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</si>
  <si>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</si>
  <si>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</si>
  <si>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</si>
  <si>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</si>
  <si>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</si>
  <si>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</si>
  <si>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</si>
  <si>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</si>
  <si>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</si>
  <si>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</si>
  <si>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</si>
  <si>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</si>
  <si>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</si>
  <si>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</si>
  <si>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</si>
  <si>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</si>
  <si>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</si>
  <si>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</si>
  <si>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</si>
  <si>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</si>
  <si>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</si>
  <si>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</si>
  <si>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</si>
  <si>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</si>
  <si>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</si>
  <si>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</si>
  <si>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</si>
  <si>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</si>
  <si>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</si>
  <si>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</si>
  <si>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</si>
  <si>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</si>
  <si>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</si>
  <si>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</si>
  <si>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</si>
  <si>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</si>
  <si>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</si>
  <si>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</si>
  <si>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</si>
  <si>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</si>
  <si>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</si>
  <si>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</si>
  <si>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</si>
  <si>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</si>
  <si>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</si>
  <si>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</si>
  <si>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</si>
  <si>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</si>
  <si>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</si>
  <si>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</si>
  <si>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</si>
  <si>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</si>
  <si>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</si>
  <si>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</si>
  <si>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</si>
  <si>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</si>
  <si>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</si>
  <si>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</si>
  <si>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</si>
  <si>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</si>
  <si>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</si>
  <si>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</si>
  <si>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CONSULTING-ACCOUNTING</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</si>
  <si>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</si>
  <si>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</si>
  <si>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</si>
  <si>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</si>
  <si>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</si>
  <si>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</si>
  <si>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</si>
  <si>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</si>
  <si>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</si>
  <si>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</si>
  <si>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</si>
  <si>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</si>
  <si>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</si>
  <si>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</si>
  <si>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</si>
  <si>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</si>
  <si>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</si>
  <si>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</si>
  <si>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</si>
  <si>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</si>
  <si>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</si>
  <si>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</si>
  <si>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</si>
  <si>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</si>
  <si>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</si>
  <si>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</si>
  <si>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</si>
  <si>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</si>
  <si>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</si>
  <si>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</si>
  <si>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</si>
  <si>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</si>
  <si>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CHANGE IN SPLIT-INTEREST AGREEMEN</t>
  </si>
  <si>
    <t>OTHER INCOME</t>
  </si>
  <si>
    <t>-1 PARTNERSHIPS PASSTHROUGH</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</si>
  <si>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</si>
  <si>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</si>
  <si>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</si>
  <si>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</si>
  <si>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</si>
  <si>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</si>
  <si>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</si>
  <si>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</si>
  <si>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</si>
  <si>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</si>
  <si>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</si>
  <si>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</si>
  <si>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</si>
  <si>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</si>
  <si>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</si>
  <si>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</si>
  <si>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</si>
  <si>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</si>
  <si>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</si>
  <si>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</si>
  <si>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</si>
  <si>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</si>
  <si>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</si>
  <si>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</si>
  <si>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</si>
  <si>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</si>
  <si>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</si>
  <si>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</si>
  <si>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</si>
  <si>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</si>
  <si>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</si>
  <si>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</si>
  <si>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</si>
  <si>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</si>
  <si>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</si>
  <si>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</si>
  <si>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</si>
  <si>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 PROGRAM EXPENSES</t>
  </si>
  <si>
    <t>REPORTS TO COMMUNITY/MA</t>
  </si>
  <si>
    <t xml:space="preserve"> DUES AND REGISTRATIONS</t>
  </si>
  <si>
    <t>FOREIGN TAXES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</si>
  <si>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</si>
  <si>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</si>
  <si>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</si>
  <si>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</si>
  <si>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</si>
  <si>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</si>
  <si>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</si>
  <si>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</si>
  <si>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</si>
  <si>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</si>
  <si>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</si>
  <si>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</si>
  <si>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</si>
  <si>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</si>
  <si>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</si>
  <si>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</si>
  <si>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</si>
  <si>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</si>
  <si>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</si>
  <si>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</si>
  <si>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</si>
  <si>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</si>
  <si>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</si>
  <si>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</si>
  <si>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</si>
  <si>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</si>
  <si>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</si>
  <si>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</si>
  <si>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</si>
  <si>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</si>
  <si>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</si>
  <si>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</si>
  <si>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</si>
  <si>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</si>
  <si>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</si>
  <si>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</si>
  <si>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</si>
  <si>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</si>
  <si>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</si>
  <si>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</si>
  <si>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</si>
  <si>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</si>
  <si>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</si>
  <si>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</si>
  <si>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</si>
  <si>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</si>
  <si>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</si>
  <si>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</si>
  <si>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</si>
  <si>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</si>
  <si>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</si>
  <si>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</si>
  <si>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</si>
  <si>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</si>
  <si>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</si>
  <si>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</si>
  <si>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</si>
  <si>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</si>
  <si>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</si>
  <si>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</si>
  <si>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</si>
  <si>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</si>
  <si>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</si>
  <si>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</si>
  <si>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</si>
  <si>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</si>
  <si>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</si>
  <si>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</si>
  <si>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</si>
  <si>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</si>
  <si>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</si>
  <si>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</si>
  <si>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</si>
  <si>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</si>
  <si>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</si>
  <si>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</si>
  <si>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</si>
  <si>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</si>
  <si>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</si>
  <si>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</si>
  <si>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</si>
  <si>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</si>
  <si>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</si>
  <si>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</si>
  <si>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</si>
  <si>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</si>
  <si>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</si>
  <si>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</si>
  <si>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</si>
  <si>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</si>
  <si>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</si>
  <si>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</si>
  <si>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</si>
  <si>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</si>
  <si>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</si>
  <si>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</si>
  <si>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</si>
  <si>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</si>
  <si>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</si>
  <si>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</si>
  <si>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</si>
  <si>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K-1 PARTNERSHIPS PASSTHROUGH</t>
  </si>
  <si>
    <t xml:space="preserve"> OTHER INCOME</t>
  </si>
  <si>
    <t>PROGRAM EXPENSES</t>
  </si>
  <si>
    <t xml:space="preserve"> FOREIGN TAXES</t>
  </si>
  <si>
    <t>DUES AND REGISTRATIONS</t>
  </si>
  <si>
    <r>
      <rPr>
        <rFont val="Roboto"/>
        <b/>
        <color rgb="FF000000"/>
        <sz val="10.0"/>
      </rPr>
      <t xml:space="preserve">Program Expenses </t>
    </r>
    <r>
      <rPr>
        <rFont val="Roboto"/>
        <b/>
        <i/>
        <color rgb="FF000000"/>
        <sz val="10.0"/>
      </rPr>
      <t xml:space="preserve">(Program Efficiency Ratio) </t>
    </r>
  </si>
  <si>
    <t>CONSULTING-GRANTMAKING</t>
  </si>
  <si>
    <r>
      <rPr>
        <rFont val="Roboto"/>
        <color rgb="FF000000"/>
        <sz val="10.0"/>
      </rPr>
      <t xml:space="preserve">Gross amount from sales of </t>
    </r>
    <r>
      <rPr>
        <rFont val="Roboto"/>
        <color rgb="FF000000"/>
        <sz val="10.0"/>
      </rPr>
      <t>assets other than inventory</t>
    </r>
  </si>
  <si>
    <t>UNRELATED BUSINESS INCO</t>
  </si>
  <si>
    <t>OTHER</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</si>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</sst>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COMMUNITY FOUNDATION FOR NE FLORIDA</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184</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185</v>
      </c>
      <c r="C3" s="145" t="s">
        <v>186</v>
      </c>
      <c r="D3" s="146">
        <f>'Expenses 2022'!C40</f>
        <v>63450687</v>
      </c>
      <c r="E3" s="147"/>
      <c r="F3" s="43"/>
      <c r="G3" s="43"/>
      <c r="H3" s="43"/>
      <c r="I3" s="43"/>
      <c r="J3" s="43"/>
      <c r="K3" s="43"/>
      <c r="L3" s="43"/>
      <c r="M3" s="43"/>
      <c r="N3" s="43"/>
      <c r="O3" s="43"/>
      <c r="P3" s="43"/>
      <c r="Q3" s="43"/>
      <c r="R3" s="43"/>
      <c r="S3" s="43"/>
      <c r="T3" s="43"/>
      <c r="U3" s="43"/>
      <c r="V3" s="43"/>
      <c r="W3" s="43"/>
      <c r="X3" s="43"/>
      <c r="Y3" s="43"/>
    </row>
    <row r="4">
      <c r="A4" s="139"/>
      <c r="B4" s="49"/>
      <c r="C4" s="145" t="s">
        <v>187</v>
      </c>
      <c r="D4" s="146">
        <f>'Expenses 2022'!C31</f>
        <v>24859</v>
      </c>
      <c r="E4" s="147"/>
      <c r="F4" s="43"/>
      <c r="G4" s="43"/>
      <c r="H4" s="43"/>
      <c r="I4" s="43"/>
      <c r="J4" s="43"/>
      <c r="K4" s="43"/>
      <c r="L4" s="43"/>
      <c r="M4" s="43"/>
      <c r="N4" s="43"/>
      <c r="O4" s="43"/>
      <c r="P4" s="43"/>
      <c r="Q4" s="43"/>
      <c r="R4" s="43"/>
      <c r="S4" s="43"/>
      <c r="T4" s="43"/>
      <c r="U4" s="43"/>
      <c r="V4" s="43"/>
      <c r="W4" s="43"/>
      <c r="X4" s="43"/>
      <c r="Y4" s="43"/>
    </row>
    <row r="5">
      <c r="A5" s="139"/>
      <c r="B5" s="49"/>
      <c r="C5" s="145" t="s">
        <v>188</v>
      </c>
      <c r="D5" s="146">
        <f>D3-D4</f>
        <v>63425828</v>
      </c>
      <c r="E5" s="147"/>
      <c r="F5" s="43"/>
      <c r="G5" s="43"/>
      <c r="H5" s="43"/>
      <c r="I5" s="43"/>
      <c r="J5" s="43"/>
      <c r="K5" s="43"/>
      <c r="L5" s="43"/>
      <c r="M5" s="43"/>
      <c r="N5" s="43"/>
      <c r="O5" s="43"/>
      <c r="P5" s="43"/>
      <c r="Q5" s="43"/>
      <c r="R5" s="43"/>
      <c r="S5" s="43"/>
      <c r="T5" s="43"/>
      <c r="U5" s="43"/>
      <c r="V5" s="43"/>
      <c r="W5" s="43"/>
      <c r="X5" s="43"/>
      <c r="Y5" s="43"/>
    </row>
    <row r="6">
      <c r="A6" s="139"/>
      <c r="B6" s="49"/>
      <c r="C6" s="145" t="s">
        <v>189</v>
      </c>
      <c r="D6" s="146">
        <f>D5/12</f>
        <v>5285485.667</v>
      </c>
      <c r="E6" s="147"/>
      <c r="F6" s="43"/>
      <c r="G6" s="43"/>
      <c r="H6" s="43"/>
      <c r="I6" s="43"/>
      <c r="J6" s="43"/>
      <c r="K6" s="43"/>
      <c r="L6" s="43"/>
      <c r="M6" s="43"/>
      <c r="N6" s="43"/>
      <c r="O6" s="43"/>
      <c r="P6" s="43"/>
      <c r="Q6" s="43"/>
      <c r="R6" s="43"/>
      <c r="S6" s="43"/>
      <c r="T6" s="43"/>
      <c r="U6" s="43"/>
      <c r="V6" s="43"/>
      <c r="W6" s="43"/>
      <c r="X6" s="43"/>
      <c r="Y6" s="43"/>
    </row>
    <row r="7">
      <c r="A7" s="139"/>
      <c r="B7" s="49"/>
      <c r="C7" s="145" t="s">
        <v>190</v>
      </c>
      <c r="D7" s="75">
        <f>'Balance Sheet 2022'!E2+'Balance Sheet 2022'!E3</f>
        <v>55003036</v>
      </c>
      <c r="E7" s="147"/>
      <c r="F7" s="43"/>
      <c r="G7" s="43"/>
      <c r="H7" s="43"/>
      <c r="I7" s="43"/>
      <c r="J7" s="43"/>
      <c r="K7" s="43"/>
      <c r="L7" s="43"/>
      <c r="M7" s="43"/>
      <c r="N7" s="43"/>
      <c r="O7" s="43"/>
      <c r="P7" s="43"/>
      <c r="Q7" s="43"/>
      <c r="R7" s="43"/>
      <c r="S7" s="43"/>
      <c r="T7" s="43"/>
      <c r="U7" s="43"/>
      <c r="V7" s="43"/>
      <c r="W7" s="43"/>
      <c r="X7" s="43"/>
      <c r="Y7" s="43"/>
    </row>
    <row r="8">
      <c r="A8" s="139"/>
      <c r="B8" s="49"/>
      <c r="C8" s="148" t="s">
        <v>184</v>
      </c>
      <c r="D8" s="149">
        <f>D7/D6</f>
        <v>10.40642989</v>
      </c>
      <c r="E8" s="150" t="s">
        <v>191</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192</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193</v>
      </c>
      <c r="C11" s="145" t="s">
        <v>194</v>
      </c>
      <c r="D11" s="75">
        <f>'Balance Sheet 2022'!E30</f>
        <v>511947430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195</v>
      </c>
      <c r="D12" s="75">
        <f>'Expenses 2022'!C40</f>
        <v>63450687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196</v>
      </c>
      <c r="D13" s="146">
        <f>D12/12</f>
        <v>5287557.25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192</v>
      </c>
      <c r="D14" s="149">
        <f>D11/D13</f>
        <v>96.82116066</v>
      </c>
      <c r="E14" s="150" t="s">
        <v>191</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197</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198</v>
      </c>
      <c r="C17" s="145" t="s">
        <v>199</v>
      </c>
      <c r="D17" s="75">
        <f>sum('Balance Sheet 2022'!E13:E15)</f>
        <v>481072791</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195</v>
      </c>
      <c r="D18" s="75">
        <f>'Expenses 2022'!C40</f>
        <v>63450687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196</v>
      </c>
      <c r="D19" s="146">
        <f>D18/12</f>
        <v>5287557.25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200</v>
      </c>
      <c r="D20" s="149">
        <f>D17/D19</f>
        <v>90.98204866</v>
      </c>
      <c r="E20" s="150" t="s">
        <v>191</v>
      </c>
      <c r="F20" s="43"/>
      <c r="G20" s="43"/>
      <c r="H20" s="43"/>
      <c r="I20" s="43"/>
      <c r="J20" s="43"/>
      <c r="K20" s="43"/>
      <c r="L20" s="43"/>
      <c r="M20" s="43"/>
      <c r="N20" s="43"/>
      <c r="O20" s="43"/>
      <c r="P20" s="43"/>
      <c r="Q20" s="43"/>
      <c r="R20" s="43"/>
      <c r="S20" s="43"/>
      <c r="T20" s="43"/>
      <c r="U20" s="43"/>
      <c r="V20" s="43"/>
      <c r="W20" s="43"/>
      <c r="X20" s="43"/>
      <c r="Y20" s="43"/>
    </row>
    <row r="21">
      <c r="A21" s="139"/>
      <c r="B21" s="49"/>
      <c r="C21" s="154" t="s">
        <v>201</v>
      </c>
      <c r="D21" s="155">
        <f>D20+D8</f>
        <v>101.3884785</v>
      </c>
      <c r="E21" s="156" t="s">
        <v>191</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202</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203</v>
      </c>
      <c r="C24" s="160"/>
      <c r="D24" s="161">
        <f>max('Revenues 2022'!E2:E7,'Revenues 2022'!F10:F15)</f>
        <v>54870290</v>
      </c>
      <c r="E24" s="162" t="s">
        <v>204</v>
      </c>
      <c r="F24" s="43"/>
      <c r="G24" s="43"/>
      <c r="H24" s="43"/>
      <c r="I24" s="43"/>
      <c r="J24" s="43"/>
      <c r="K24" s="43"/>
      <c r="L24" s="43"/>
      <c r="M24" s="43"/>
      <c r="N24" s="43"/>
      <c r="O24" s="43"/>
      <c r="P24" s="43"/>
      <c r="Q24" s="43"/>
      <c r="R24" s="43"/>
      <c r="S24" s="43"/>
      <c r="T24" s="43"/>
      <c r="U24" s="43"/>
      <c r="V24" s="43"/>
      <c r="W24" s="43"/>
      <c r="X24" s="43"/>
      <c r="Y24" s="43"/>
    </row>
    <row r="25">
      <c r="A25" s="139"/>
      <c r="B25" s="49"/>
      <c r="C25" s="145" t="s">
        <v>205</v>
      </c>
      <c r="D25" s="146">
        <f>'Revenues 2022'!F44</f>
        <v>63356535</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202</v>
      </c>
      <c r="D26" s="163">
        <f>D24/D25</f>
        <v>0.8660557273</v>
      </c>
      <c r="E26" s="150" t="s">
        <v>206</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207</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208</v>
      </c>
      <c r="C29" s="145" t="s">
        <v>209</v>
      </c>
      <c r="D29" s="75">
        <f>SUM('Expenses 2022'!C7:C9)</f>
        <v>2640116</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210</v>
      </c>
      <c r="D30" s="75">
        <f>SUM('Expenses 2022'!C10:C12)</f>
        <v>456431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211</v>
      </c>
      <c r="D31" s="75">
        <f>sum(D29:D30)</f>
        <v>3096547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186</v>
      </c>
      <c r="D32" s="75">
        <f>'Expenses 2022'!C40</f>
        <v>63450687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212</v>
      </c>
      <c r="D33" s="163">
        <f>D31/D32</f>
        <v>0.0488024188</v>
      </c>
      <c r="E33" s="150" t="s">
        <v>213</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214</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215</v>
      </c>
      <c r="C36" s="145" t="s">
        <v>216</v>
      </c>
      <c r="D36" s="75">
        <f>SUM('Expenses 2022'!C10:C11)</f>
        <v>283222</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209</v>
      </c>
      <c r="D37" s="75">
        <f>SUM('Expenses 2022'!C7:C9)</f>
        <v>2640116</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214</v>
      </c>
      <c r="D38" s="163">
        <f>D36/D37</f>
        <v>0.1072763469</v>
      </c>
      <c r="E38" s="150" t="s">
        <v>217</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218</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219</v>
      </c>
      <c r="C41" s="148" t="s">
        <v>247</v>
      </c>
      <c r="D41" s="75">
        <f>'Expenses 2022'!D40</f>
        <v>59322549</v>
      </c>
      <c r="E41" s="165">
        <f t="shared" ref="E41:E44" si="1">D41/$D$44</f>
        <v>0.9349394278</v>
      </c>
      <c r="F41" s="43"/>
      <c r="G41" s="43"/>
      <c r="H41" s="43"/>
      <c r="I41" s="43"/>
      <c r="J41" s="43"/>
      <c r="K41" s="43"/>
      <c r="L41" s="43"/>
      <c r="M41" s="43"/>
      <c r="N41" s="43"/>
      <c r="O41" s="43"/>
      <c r="P41" s="43"/>
      <c r="Q41" s="43"/>
      <c r="R41" s="43"/>
      <c r="S41" s="43"/>
      <c r="T41" s="43"/>
      <c r="U41" s="43"/>
      <c r="V41" s="43"/>
      <c r="W41" s="43"/>
      <c r="X41" s="43"/>
      <c r="Y41" s="43"/>
    </row>
    <row r="42">
      <c r="A42" s="139"/>
      <c r="B42" s="49"/>
      <c r="C42" s="148" t="s">
        <v>221</v>
      </c>
      <c r="D42" s="146">
        <f>'Expenses 2022'!E40</f>
        <v>3489938</v>
      </c>
      <c r="E42" s="165">
        <f t="shared" si="1"/>
        <v>0.05500236743</v>
      </c>
      <c r="F42" s="43"/>
      <c r="G42" s="43"/>
      <c r="H42" s="43"/>
      <c r="I42" s="43"/>
      <c r="J42" s="43"/>
      <c r="K42" s="43"/>
      <c r="L42" s="43"/>
      <c r="M42" s="43"/>
      <c r="N42" s="43"/>
      <c r="O42" s="43"/>
      <c r="P42" s="43"/>
      <c r="Q42" s="43"/>
      <c r="R42" s="43"/>
      <c r="S42" s="43"/>
      <c r="T42" s="43"/>
      <c r="U42" s="43"/>
      <c r="V42" s="43"/>
      <c r="W42" s="43"/>
      <c r="X42" s="43"/>
      <c r="Y42" s="43"/>
    </row>
    <row r="43">
      <c r="A43" s="139"/>
      <c r="B43" s="49"/>
      <c r="C43" s="148" t="s">
        <v>222</v>
      </c>
      <c r="D43" s="146">
        <f>'Expenses 2022'!F40</f>
        <v>638200</v>
      </c>
      <c r="E43" s="165">
        <f t="shared" si="1"/>
        <v>0.01005820473</v>
      </c>
      <c r="F43" s="43"/>
      <c r="G43" s="43"/>
      <c r="H43" s="43"/>
      <c r="I43" s="43"/>
      <c r="J43" s="43"/>
      <c r="K43" s="43"/>
      <c r="L43" s="43"/>
      <c r="M43" s="43"/>
      <c r="N43" s="43"/>
      <c r="O43" s="43"/>
      <c r="P43" s="43"/>
      <c r="Q43" s="43"/>
      <c r="R43" s="43"/>
      <c r="S43" s="43"/>
      <c r="T43" s="43"/>
      <c r="U43" s="43"/>
      <c r="V43" s="43"/>
      <c r="W43" s="43"/>
      <c r="X43" s="43"/>
      <c r="Y43" s="43"/>
    </row>
    <row r="44">
      <c r="A44" s="139"/>
      <c r="B44" s="49"/>
      <c r="C44" s="145" t="s">
        <v>186</v>
      </c>
      <c r="D44" s="146">
        <f>sum(D41:D43)</f>
        <v>63450687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223</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224</v>
      </c>
      <c r="C47" s="145" t="s">
        <v>225</v>
      </c>
      <c r="D47" s="146">
        <f>'Revenues 2022'!F9</f>
        <v>54883368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226</v>
      </c>
      <c r="D48" s="146">
        <f>'Expenses 2022'!F40</f>
        <v>638200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227</v>
      </c>
      <c r="D49" s="166">
        <f>if(D48=0, "$0",D47/D48)</f>
        <v>85.99712943</v>
      </c>
      <c r="E49" s="150" t="s">
        <v>228</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229</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230</v>
      </c>
      <c r="C52" s="145" t="s">
        <v>231</v>
      </c>
      <c r="D52" s="146">
        <f>sum('Balance Sheet 2022'!E2:E10)</f>
        <v>55372540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232</v>
      </c>
      <c r="D53" s="146">
        <f>sum('Balance Sheet 2022'!E19:E22)</f>
        <v>9648707</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233</v>
      </c>
      <c r="D54" s="168">
        <f>D52/D53</f>
        <v>5.738855994</v>
      </c>
      <c r="E54" s="150" t="s">
        <v>234</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235</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236</v>
      </c>
      <c r="C57" s="145" t="s">
        <v>237</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238</v>
      </c>
      <c r="D58" s="146">
        <f>'Balance Sheet 2022'!E18</f>
        <v>548390568</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239</v>
      </c>
      <c r="D59" s="169">
        <f>D57/D58</f>
        <v>0</v>
      </c>
      <c r="E59" s="150" t="s">
        <v>240</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COMMUNITY FOUNDATION FOR NE FLORIDA</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16212.0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8.7882051E7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7.1208049E7</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87898263</v>
      </c>
      <c r="G9" s="58"/>
      <c r="H9" s="58"/>
      <c r="I9" s="58"/>
      <c r="J9" s="58"/>
      <c r="K9" s="58"/>
      <c r="L9" s="58"/>
      <c r="M9" s="58"/>
      <c r="N9" s="58"/>
      <c r="O9" s="58"/>
      <c r="P9" s="58"/>
      <c r="Q9" s="58"/>
      <c r="R9" s="58"/>
      <c r="S9" s="58"/>
      <c r="T9" s="58"/>
      <c r="U9" s="58"/>
      <c r="V9" s="58"/>
      <c r="W9" s="58"/>
      <c r="X9" s="58"/>
      <c r="Y9" s="58"/>
      <c r="Z9" s="58"/>
    </row>
    <row r="10">
      <c r="A10" s="44" t="s">
        <v>62</v>
      </c>
      <c r="B10" s="59" t="s">
        <v>63</v>
      </c>
      <c r="C10" s="60" t="s">
        <v>248</v>
      </c>
      <c r="D10" s="15"/>
      <c r="E10" s="15"/>
      <c r="F10" s="48">
        <v>78500.0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78500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1.2984632E7</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249</v>
      </c>
      <c r="D26" s="50">
        <v>7.1703879E7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7.1201245E7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502634</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502634</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242</v>
      </c>
      <c r="D39" s="74"/>
      <c r="E39" s="48">
        <v>2492830.0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97</v>
      </c>
      <c r="D40" s="74"/>
      <c r="E40" s="48">
        <v>191279.0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98</v>
      </c>
      <c r="D41" s="74"/>
      <c r="E41" s="48">
        <v>165155.0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2849264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104313293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COMMUNITY FOUNDATION FOR NE FLORIDA</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74952949</v>
      </c>
      <c r="D3" s="99">
        <v>7.4952949E7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167820</v>
      </c>
      <c r="D4" s="99">
        <v>167820.0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1496728</v>
      </c>
      <c r="D7" s="99">
        <v>645907.0</v>
      </c>
      <c r="E7" s="99">
        <v>384328.0</v>
      </c>
      <c r="F7" s="99">
        <v>466493.0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1630775</v>
      </c>
      <c r="D9" s="99">
        <v>801603.0</v>
      </c>
      <c r="E9" s="99">
        <v>667102.0</v>
      </c>
      <c r="F9" s="99">
        <v>162070.0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137064</v>
      </c>
      <c r="D10" s="99">
        <v>67557.0</v>
      </c>
      <c r="E10" s="99">
        <v>59684.0</v>
      </c>
      <c r="F10" s="99">
        <v>9823.0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145860</v>
      </c>
      <c r="D11" s="99">
        <v>70806.0</v>
      </c>
      <c r="E11" s="99">
        <v>62036.0</v>
      </c>
      <c r="F11" s="99">
        <v>13018.0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198232</v>
      </c>
      <c r="D12" s="99">
        <v>96034.0</v>
      </c>
      <c r="E12" s="99">
        <v>67744.0</v>
      </c>
      <c r="F12" s="99">
        <v>34454.0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33306</v>
      </c>
      <c r="D15" s="99">
        <v>8640.0</v>
      </c>
      <c r="E15" s="99">
        <v>24666.0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192409</v>
      </c>
      <c r="D16" s="99">
        <v>0.0</v>
      </c>
      <c r="E16" s="99">
        <v>192409.0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1828066</v>
      </c>
      <c r="D19" s="99">
        <v>0.0</v>
      </c>
      <c r="E19" s="99">
        <v>1828066.0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124508</v>
      </c>
      <c r="D20" s="99">
        <v>118948.0</v>
      </c>
      <c r="E20" s="99">
        <v>3760.0</v>
      </c>
      <c r="F20" s="99">
        <v>1800.0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94184</v>
      </c>
      <c r="D22" s="99">
        <v>49937.0</v>
      </c>
      <c r="E22" s="99">
        <v>32956.0</v>
      </c>
      <c r="F22" s="99">
        <v>11291.0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205591</v>
      </c>
      <c r="D23" s="99">
        <v>133638.0</v>
      </c>
      <c r="E23" s="99">
        <v>41116.0</v>
      </c>
      <c r="F23" s="99">
        <v>30837.0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444909</v>
      </c>
      <c r="D25" s="99">
        <v>362618.0</v>
      </c>
      <c r="E25" s="99">
        <v>50245.0</v>
      </c>
      <c r="F25" s="99">
        <v>32046.0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7311</v>
      </c>
      <c r="D26" s="99">
        <v>4752.0</v>
      </c>
      <c r="E26" s="99">
        <v>1462.0</v>
      </c>
      <c r="F26" s="99">
        <v>1097.0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76874</v>
      </c>
      <c r="D28" s="99">
        <v>50942.0</v>
      </c>
      <c r="E28" s="99">
        <v>14818.0</v>
      </c>
      <c r="F28" s="99">
        <v>11114.0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25540</v>
      </c>
      <c r="D29" s="99">
        <v>7292.0</v>
      </c>
      <c r="E29" s="99">
        <v>18248.0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192671</v>
      </c>
      <c r="D31" s="99">
        <v>158106.0</v>
      </c>
      <c r="E31" s="99">
        <v>21194.0</v>
      </c>
      <c r="F31" s="99">
        <v>13371.0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17679</v>
      </c>
      <c r="D32" s="99">
        <v>6030.0</v>
      </c>
      <c r="E32" s="99">
        <v>11139.0</v>
      </c>
      <c r="F32" s="99">
        <v>510.0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60" t="s">
        <v>250</v>
      </c>
      <c r="C34" s="98">
        <f t="shared" si="1"/>
        <v>532636</v>
      </c>
      <c r="D34" s="99">
        <v>0.0</v>
      </c>
      <c r="E34" s="99">
        <v>532636.0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138</v>
      </c>
      <c r="C35" s="98">
        <f t="shared" si="1"/>
        <v>227012</v>
      </c>
      <c r="D35" s="99">
        <v>144798.0</v>
      </c>
      <c r="E35" s="99">
        <v>45292.0</v>
      </c>
      <c r="F35" s="99">
        <v>36922.0</v>
      </c>
      <c r="G35" s="43"/>
      <c r="H35" s="43"/>
      <c r="I35" s="43"/>
      <c r="J35" s="43"/>
      <c r="K35" s="43"/>
      <c r="L35" s="43"/>
      <c r="M35" s="43"/>
      <c r="N35" s="43"/>
      <c r="O35" s="43"/>
      <c r="P35" s="43"/>
      <c r="Q35" s="43"/>
      <c r="R35" s="43"/>
      <c r="S35" s="43"/>
      <c r="T35" s="43"/>
      <c r="U35" s="43"/>
      <c r="V35" s="43"/>
      <c r="W35" s="43"/>
      <c r="X35" s="43"/>
      <c r="Y35" s="43"/>
      <c r="Z35" s="43"/>
    </row>
    <row r="36">
      <c r="A36" s="45" t="s">
        <v>50</v>
      </c>
      <c r="B36" s="60" t="s">
        <v>244</v>
      </c>
      <c r="C36" s="98">
        <f t="shared" si="1"/>
        <v>223287</v>
      </c>
      <c r="D36" s="99">
        <v>223287.0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251</v>
      </c>
      <c r="C37" s="98">
        <f t="shared" si="1"/>
        <v>120178</v>
      </c>
      <c r="D37" s="99">
        <v>55799.0</v>
      </c>
      <c r="E37" s="99">
        <v>54221.0</v>
      </c>
      <c r="F37" s="99">
        <v>10158.0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4">
        <f t="shared" ref="C40:F40" si="2">sum(C3:C39)</f>
        <v>83075589</v>
      </c>
      <c r="D40" s="104">
        <f t="shared" si="2"/>
        <v>78127463</v>
      </c>
      <c r="E40" s="104">
        <f t="shared" si="2"/>
        <v>4113122</v>
      </c>
      <c r="F40" s="104">
        <f t="shared" si="2"/>
        <v>835004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COMMUNITY FOUNDATION FOR NE FLORIDA</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143</v>
      </c>
      <c r="B2" s="45">
        <v>1.0</v>
      </c>
      <c r="C2" s="46" t="s">
        <v>144</v>
      </c>
      <c r="D2" s="111"/>
      <c r="E2" s="112">
        <v>0.0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3"/>
      <c r="E3" s="112">
        <v>5.6495827E7</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1"/>
      <c r="E4" s="112">
        <v>209725.0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1"/>
      <c r="E10" s="112">
        <v>96108.0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2">
        <v>1720755.0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2">
        <v>519535.0</v>
      </c>
      <c r="E12" s="109">
        <f>D11-D12</f>
        <v>1201220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3"/>
      <c r="E13" s="112">
        <v>3.57560624E8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3"/>
      <c r="E14" s="112">
        <v>2.30395847E8</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3"/>
      <c r="E17" s="112">
        <v>9437596.0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4"/>
      <c r="E18" s="115">
        <f>sum(E2:E17)</f>
        <v>655396947</v>
      </c>
      <c r="F18" s="43"/>
      <c r="G18" s="43"/>
      <c r="H18" s="43"/>
      <c r="I18" s="43"/>
      <c r="J18" s="43"/>
      <c r="K18" s="43"/>
      <c r="L18" s="43"/>
      <c r="M18" s="43"/>
      <c r="N18" s="43"/>
      <c r="O18" s="43"/>
      <c r="P18" s="43"/>
      <c r="Q18" s="43"/>
      <c r="R18" s="43"/>
      <c r="S18" s="43"/>
      <c r="T18" s="43"/>
      <c r="U18" s="43"/>
      <c r="V18" s="43"/>
      <c r="W18" s="43"/>
      <c r="X18" s="43"/>
      <c r="Y18" s="43"/>
      <c r="Z18" s="43"/>
    </row>
    <row r="19">
      <c r="A19" s="44" t="s">
        <v>163</v>
      </c>
      <c r="B19" s="116">
        <v>17.0</v>
      </c>
      <c r="C19" s="117" t="s">
        <v>164</v>
      </c>
      <c r="D19" s="118"/>
      <c r="E19" s="112">
        <v>527231.0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165</v>
      </c>
      <c r="D20" s="118"/>
      <c r="E20" s="112">
        <v>2.7109371E7</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166</v>
      </c>
      <c r="D21" s="118"/>
      <c r="E21" s="112">
        <v>1452111.0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167</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168</v>
      </c>
      <c r="D23" s="118"/>
      <c r="E23" s="119">
        <v>2.1191553E7</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169</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170</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171</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172</v>
      </c>
      <c r="D27" s="118"/>
      <c r="E27" s="119">
        <v>4263902.0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173</v>
      </c>
      <c r="D28" s="126"/>
      <c r="E28" s="127">
        <f>sum(E19:E27)</f>
        <v>54544168</v>
      </c>
      <c r="F28" s="43"/>
      <c r="G28" s="43"/>
      <c r="H28" s="43"/>
      <c r="I28" s="43"/>
      <c r="J28" s="43"/>
      <c r="K28" s="43"/>
      <c r="L28" s="43"/>
      <c r="M28" s="43"/>
      <c r="N28" s="43"/>
      <c r="O28" s="43"/>
      <c r="P28" s="43"/>
      <c r="Q28" s="43"/>
      <c r="R28" s="43"/>
      <c r="S28" s="43"/>
      <c r="T28" s="43"/>
      <c r="U28" s="43"/>
      <c r="V28" s="43"/>
      <c r="W28" s="43"/>
      <c r="X28" s="43"/>
      <c r="Y28" s="43"/>
      <c r="Z28" s="43"/>
    </row>
    <row r="29">
      <c r="A29" s="65" t="s">
        <v>174</v>
      </c>
      <c r="B29" s="128"/>
      <c r="C29" s="129" t="s">
        <v>175</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176</v>
      </c>
      <c r="D30" s="118"/>
      <c r="E30" s="112">
        <v>5.96787467E8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177</v>
      </c>
      <c r="D31" s="118"/>
      <c r="E31" s="112">
        <v>4065312.0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178</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179</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180</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181</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182</v>
      </c>
      <c r="D36" s="132"/>
      <c r="E36" s="127">
        <f>sum(E30:E35)</f>
        <v>600852779</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183</v>
      </c>
      <c r="D37" s="136"/>
      <c r="E37" s="137">
        <f>E36+E28</f>
        <v>655396947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COMMUNITY FOUNDATION FOR NE FLORIDA</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184</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185</v>
      </c>
      <c r="C3" s="145" t="s">
        <v>186</v>
      </c>
      <c r="D3" s="146">
        <f>'Expenses 2023'!C40</f>
        <v>83075589</v>
      </c>
      <c r="E3" s="147"/>
      <c r="F3" s="43"/>
      <c r="G3" s="43"/>
      <c r="H3" s="43"/>
      <c r="I3" s="43"/>
      <c r="J3" s="43"/>
      <c r="K3" s="43"/>
      <c r="L3" s="43"/>
      <c r="M3" s="43"/>
      <c r="N3" s="43"/>
      <c r="O3" s="43"/>
      <c r="P3" s="43"/>
      <c r="Q3" s="43"/>
      <c r="R3" s="43"/>
      <c r="S3" s="43"/>
      <c r="T3" s="43"/>
      <c r="U3" s="43"/>
      <c r="V3" s="43"/>
      <c r="W3" s="43"/>
      <c r="X3" s="43"/>
      <c r="Y3" s="43"/>
    </row>
    <row r="4">
      <c r="A4" s="139"/>
      <c r="B4" s="49"/>
      <c r="C4" s="145" t="s">
        <v>187</v>
      </c>
      <c r="D4" s="146">
        <f>'Expenses 2023'!C31</f>
        <v>192671</v>
      </c>
      <c r="E4" s="147"/>
      <c r="F4" s="43"/>
      <c r="G4" s="43"/>
      <c r="H4" s="43"/>
      <c r="I4" s="43"/>
      <c r="J4" s="43"/>
      <c r="K4" s="43"/>
      <c r="L4" s="43"/>
      <c r="M4" s="43"/>
      <c r="N4" s="43"/>
      <c r="O4" s="43"/>
      <c r="P4" s="43"/>
      <c r="Q4" s="43"/>
      <c r="R4" s="43"/>
      <c r="S4" s="43"/>
      <c r="T4" s="43"/>
      <c r="U4" s="43"/>
      <c r="V4" s="43"/>
      <c r="W4" s="43"/>
      <c r="X4" s="43"/>
      <c r="Y4" s="43"/>
    </row>
    <row r="5">
      <c r="A5" s="139"/>
      <c r="B5" s="49"/>
      <c r="C5" s="145" t="s">
        <v>188</v>
      </c>
      <c r="D5" s="146">
        <f>D3-D4</f>
        <v>82882918</v>
      </c>
      <c r="E5" s="147"/>
      <c r="F5" s="43"/>
      <c r="G5" s="43"/>
      <c r="H5" s="43"/>
      <c r="I5" s="43"/>
      <c r="J5" s="43"/>
      <c r="K5" s="43"/>
      <c r="L5" s="43"/>
      <c r="M5" s="43"/>
      <c r="N5" s="43"/>
      <c r="O5" s="43"/>
      <c r="P5" s="43"/>
      <c r="Q5" s="43"/>
      <c r="R5" s="43"/>
      <c r="S5" s="43"/>
      <c r="T5" s="43"/>
      <c r="U5" s="43"/>
      <c r="V5" s="43"/>
      <c r="W5" s="43"/>
      <c r="X5" s="43"/>
      <c r="Y5" s="43"/>
    </row>
    <row r="6">
      <c r="A6" s="139"/>
      <c r="B6" s="49"/>
      <c r="C6" s="145" t="s">
        <v>189</v>
      </c>
      <c r="D6" s="146">
        <f>D5/12</f>
        <v>6906909.833</v>
      </c>
      <c r="E6" s="147"/>
      <c r="F6" s="43"/>
      <c r="G6" s="43"/>
      <c r="H6" s="43"/>
      <c r="I6" s="43"/>
      <c r="J6" s="43"/>
      <c r="K6" s="43"/>
      <c r="L6" s="43"/>
      <c r="M6" s="43"/>
      <c r="N6" s="43"/>
      <c r="O6" s="43"/>
      <c r="P6" s="43"/>
      <c r="Q6" s="43"/>
      <c r="R6" s="43"/>
      <c r="S6" s="43"/>
      <c r="T6" s="43"/>
      <c r="U6" s="43"/>
      <c r="V6" s="43"/>
      <c r="W6" s="43"/>
      <c r="X6" s="43"/>
      <c r="Y6" s="43"/>
    </row>
    <row r="7">
      <c r="A7" s="139"/>
      <c r="B7" s="49"/>
      <c r="C7" s="145" t="s">
        <v>190</v>
      </c>
      <c r="D7" s="75">
        <f>'Balance Sheet 2023'!E2+'Balance Sheet 2023'!E3</f>
        <v>56495827</v>
      </c>
      <c r="E7" s="147"/>
      <c r="F7" s="43"/>
      <c r="G7" s="43"/>
      <c r="H7" s="43"/>
      <c r="I7" s="43"/>
      <c r="J7" s="43"/>
      <c r="K7" s="43"/>
      <c r="L7" s="43"/>
      <c r="M7" s="43"/>
      <c r="N7" s="43"/>
      <c r="O7" s="43"/>
      <c r="P7" s="43"/>
      <c r="Q7" s="43"/>
      <c r="R7" s="43"/>
      <c r="S7" s="43"/>
      <c r="T7" s="43"/>
      <c r="U7" s="43"/>
      <c r="V7" s="43"/>
      <c r="W7" s="43"/>
      <c r="X7" s="43"/>
      <c r="Y7" s="43"/>
    </row>
    <row r="8">
      <c r="A8" s="139"/>
      <c r="B8" s="49"/>
      <c r="C8" s="148" t="s">
        <v>184</v>
      </c>
      <c r="D8" s="149">
        <f>D7/D6</f>
        <v>8.179609748</v>
      </c>
      <c r="E8" s="150" t="s">
        <v>191</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192</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193</v>
      </c>
      <c r="C11" s="145" t="s">
        <v>194</v>
      </c>
      <c r="D11" s="75">
        <f>'Balance Sheet 2023'!E30</f>
        <v>596787467</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195</v>
      </c>
      <c r="D12" s="75">
        <f>'Expenses 2023'!C40</f>
        <v>83075589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196</v>
      </c>
      <c r="D13" s="146">
        <f>D12/12</f>
        <v>6922965.75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192</v>
      </c>
      <c r="D14" s="149">
        <f>D11/D13</f>
        <v>86.20401842</v>
      </c>
      <c r="E14" s="150" t="s">
        <v>191</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197</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198</v>
      </c>
      <c r="C17" s="145" t="s">
        <v>199</v>
      </c>
      <c r="D17" s="75">
        <f>sum('Balance Sheet 2023'!E13:E15)</f>
        <v>587956471</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195</v>
      </c>
      <c r="D18" s="75">
        <f>'Expenses 2023'!C40</f>
        <v>83075589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196</v>
      </c>
      <c r="D19" s="146">
        <f>D18/12</f>
        <v>6922965.75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200</v>
      </c>
      <c r="D20" s="149">
        <f>D17/D19</f>
        <v>84.92840962</v>
      </c>
      <c r="E20" s="150" t="s">
        <v>191</v>
      </c>
      <c r="F20" s="43"/>
      <c r="G20" s="43"/>
      <c r="H20" s="43"/>
      <c r="I20" s="43"/>
      <c r="J20" s="43"/>
      <c r="K20" s="43"/>
      <c r="L20" s="43"/>
      <c r="M20" s="43"/>
      <c r="N20" s="43"/>
      <c r="O20" s="43"/>
      <c r="P20" s="43"/>
      <c r="Q20" s="43"/>
      <c r="R20" s="43"/>
      <c r="S20" s="43"/>
      <c r="T20" s="43"/>
      <c r="U20" s="43"/>
      <c r="V20" s="43"/>
      <c r="W20" s="43"/>
      <c r="X20" s="43"/>
      <c r="Y20" s="43"/>
    </row>
    <row r="21">
      <c r="A21" s="139"/>
      <c r="B21" s="49"/>
      <c r="C21" s="154" t="s">
        <v>201</v>
      </c>
      <c r="D21" s="155">
        <f>D20+D8</f>
        <v>93.10801937</v>
      </c>
      <c r="E21" s="156" t="s">
        <v>191</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202</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203</v>
      </c>
      <c r="C24" s="160"/>
      <c r="D24" s="161">
        <f>max('Revenues 2023'!E2:E7,'Revenues 2023'!F10:F15)</f>
        <v>87882051</v>
      </c>
      <c r="E24" s="162" t="s">
        <v>204</v>
      </c>
      <c r="F24" s="43"/>
      <c r="G24" s="43"/>
      <c r="H24" s="43"/>
      <c r="I24" s="43"/>
      <c r="J24" s="43"/>
      <c r="K24" s="43"/>
      <c r="L24" s="43"/>
      <c r="M24" s="43"/>
      <c r="N24" s="43"/>
      <c r="O24" s="43"/>
      <c r="P24" s="43"/>
      <c r="Q24" s="43"/>
      <c r="R24" s="43"/>
      <c r="S24" s="43"/>
      <c r="T24" s="43"/>
      <c r="U24" s="43"/>
      <c r="V24" s="43"/>
      <c r="W24" s="43"/>
      <c r="X24" s="43"/>
      <c r="Y24" s="43"/>
    </row>
    <row r="25">
      <c r="A25" s="139"/>
      <c r="B25" s="49"/>
      <c r="C25" s="145" t="s">
        <v>205</v>
      </c>
      <c r="D25" s="146">
        <f>'Revenues 2023'!F44</f>
        <v>104313293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202</v>
      </c>
      <c r="D26" s="163">
        <f>D24/D25</f>
        <v>0.8424818014</v>
      </c>
      <c r="E26" s="150" t="s">
        <v>206</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207</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208</v>
      </c>
      <c r="C29" s="145" t="s">
        <v>209</v>
      </c>
      <c r="D29" s="75">
        <f>SUM('Expenses 2023'!C7:C9)</f>
        <v>3127503</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210</v>
      </c>
      <c r="D30" s="75">
        <f>SUM('Expenses 2023'!C10:C12)</f>
        <v>481156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211</v>
      </c>
      <c r="D31" s="75">
        <f>sum(D29:D30)</f>
        <v>3608659</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186</v>
      </c>
      <c r="D32" s="75">
        <f>'Expenses 2023'!C40</f>
        <v>83075589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212</v>
      </c>
      <c r="D33" s="163">
        <f>D31/D32</f>
        <v>0.04343825958</v>
      </c>
      <c r="E33" s="150" t="s">
        <v>213</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214</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215</v>
      </c>
      <c r="C36" s="145" t="s">
        <v>216</v>
      </c>
      <c r="D36" s="75">
        <f>SUM('Expenses 2023'!C10:C11)</f>
        <v>282924</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209</v>
      </c>
      <c r="D37" s="75">
        <f>SUM('Expenses 2023'!C7:C9)</f>
        <v>3127503</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214</v>
      </c>
      <c r="D38" s="163">
        <f>D36/D37</f>
        <v>0.09046322258</v>
      </c>
      <c r="E38" s="150" t="s">
        <v>217</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218</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219</v>
      </c>
      <c r="C41" s="148" t="s">
        <v>252</v>
      </c>
      <c r="D41" s="75">
        <f>'Expenses 2023'!D40</f>
        <v>78127463</v>
      </c>
      <c r="E41" s="165">
        <f t="shared" ref="E41:E44" si="1">D41/$D$44</f>
        <v>0.9404382676</v>
      </c>
      <c r="F41" s="43"/>
      <c r="G41" s="43"/>
      <c r="H41" s="43"/>
      <c r="I41" s="43"/>
      <c r="J41" s="43"/>
      <c r="K41" s="43"/>
      <c r="L41" s="43"/>
      <c r="M41" s="43"/>
      <c r="N41" s="43"/>
      <c r="O41" s="43"/>
      <c r="P41" s="43"/>
      <c r="Q41" s="43"/>
      <c r="R41" s="43"/>
      <c r="S41" s="43"/>
      <c r="T41" s="43"/>
      <c r="U41" s="43"/>
      <c r="V41" s="43"/>
      <c r="W41" s="43"/>
      <c r="X41" s="43"/>
      <c r="Y41" s="43"/>
    </row>
    <row r="42">
      <c r="A42" s="139"/>
      <c r="B42" s="49"/>
      <c r="C42" s="148" t="s">
        <v>221</v>
      </c>
      <c r="D42" s="146">
        <f>'Expenses 2023'!E40</f>
        <v>4113122</v>
      </c>
      <c r="E42" s="165">
        <f t="shared" si="1"/>
        <v>0.04951059691</v>
      </c>
      <c r="F42" s="43"/>
      <c r="G42" s="43"/>
      <c r="H42" s="43"/>
      <c r="I42" s="43"/>
      <c r="J42" s="43"/>
      <c r="K42" s="43"/>
      <c r="L42" s="43"/>
      <c r="M42" s="43"/>
      <c r="N42" s="43"/>
      <c r="O42" s="43"/>
      <c r="P42" s="43"/>
      <c r="Q42" s="43"/>
      <c r="R42" s="43"/>
      <c r="S42" s="43"/>
      <c r="T42" s="43"/>
      <c r="U42" s="43"/>
      <c r="V42" s="43"/>
      <c r="W42" s="43"/>
      <c r="X42" s="43"/>
      <c r="Y42" s="43"/>
    </row>
    <row r="43">
      <c r="A43" s="139"/>
      <c r="B43" s="49"/>
      <c r="C43" s="148" t="s">
        <v>222</v>
      </c>
      <c r="D43" s="146">
        <f>'Expenses 2023'!F40</f>
        <v>835004</v>
      </c>
      <c r="E43" s="165">
        <f t="shared" si="1"/>
        <v>0.01005113548</v>
      </c>
      <c r="F43" s="43"/>
      <c r="G43" s="43"/>
      <c r="H43" s="43"/>
      <c r="I43" s="43"/>
      <c r="J43" s="43"/>
      <c r="K43" s="43"/>
      <c r="L43" s="43"/>
      <c r="M43" s="43"/>
      <c r="N43" s="43"/>
      <c r="O43" s="43"/>
      <c r="P43" s="43"/>
      <c r="Q43" s="43"/>
      <c r="R43" s="43"/>
      <c r="S43" s="43"/>
      <c r="T43" s="43"/>
      <c r="U43" s="43"/>
      <c r="V43" s="43"/>
      <c r="W43" s="43"/>
      <c r="X43" s="43"/>
      <c r="Y43" s="43"/>
    </row>
    <row r="44">
      <c r="A44" s="139"/>
      <c r="B44" s="49"/>
      <c r="C44" s="145" t="s">
        <v>186</v>
      </c>
      <c r="D44" s="146">
        <f>sum(D41:D43)</f>
        <v>83075589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223</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224</v>
      </c>
      <c r="C47" s="145" t="s">
        <v>225</v>
      </c>
      <c r="D47" s="146">
        <f>'Revenues 2023'!F9</f>
        <v>87898263</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226</v>
      </c>
      <c r="D48" s="146">
        <f>'Expenses 2023'!F40</f>
        <v>835004</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227</v>
      </c>
      <c r="D49" s="166">
        <f>if(D48=0, "$0",D47/D48)</f>
        <v>105.2668766</v>
      </c>
      <c r="E49" s="150" t="s">
        <v>228</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229</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230</v>
      </c>
      <c r="C52" s="145" t="s">
        <v>231</v>
      </c>
      <c r="D52" s="146">
        <f>sum('Balance Sheet 2023'!E2:E10)</f>
        <v>56801660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232</v>
      </c>
      <c r="D53" s="146">
        <f>sum('Balance Sheet 2023'!E19:E22)</f>
        <v>29088713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233</v>
      </c>
      <c r="D54" s="168">
        <f>D52/D53</f>
        <v>1.952704473</v>
      </c>
      <c r="E54" s="150" t="s">
        <v>234</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235</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236</v>
      </c>
      <c r="C57" s="145" t="s">
        <v>237</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238</v>
      </c>
      <c r="D58" s="146">
        <f>'Balance Sheet 2023'!E18</f>
        <v>655396947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239</v>
      </c>
      <c r="D59" s="169">
        <f>D57/D58</f>
        <v>0</v>
      </c>
      <c r="E59" s="150" t="s">
        <v>240</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COMMUNITY FOUNDATION FOR NE FLORIDA</v>
      </c>
      <c r="B1" s="2" t="s">
        <v>253</v>
      </c>
      <c r="C1" s="139"/>
      <c r="D1" s="139"/>
      <c r="E1" s="139"/>
      <c r="F1" s="140"/>
      <c r="G1" s="140"/>
      <c r="H1" s="140"/>
      <c r="I1" s="43"/>
      <c r="J1" s="43"/>
      <c r="K1" s="43"/>
      <c r="L1" s="43"/>
      <c r="M1" s="43"/>
      <c r="N1" s="43"/>
      <c r="O1" s="43"/>
      <c r="P1" s="43"/>
      <c r="Q1" s="43"/>
      <c r="R1" s="43"/>
      <c r="S1" s="43"/>
      <c r="T1" s="43"/>
      <c r="U1" s="43"/>
      <c r="V1" s="43"/>
      <c r="W1" s="43"/>
      <c r="X1" s="43"/>
      <c r="Y1" s="43"/>
    </row>
    <row r="2">
      <c r="A2" s="141" t="s">
        <v>184</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185</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254</v>
      </c>
      <c r="E4" s="45" t="s">
        <v>255</v>
      </c>
      <c r="F4" s="45" t="s">
        <v>256</v>
      </c>
      <c r="G4" s="59" t="s">
        <v>257</v>
      </c>
      <c r="H4" s="59"/>
      <c r="I4" s="43"/>
      <c r="J4" s="43"/>
      <c r="K4" s="43"/>
      <c r="L4" s="43"/>
      <c r="M4" s="43"/>
      <c r="N4" s="43"/>
      <c r="O4" s="43"/>
      <c r="P4" s="43"/>
      <c r="Q4" s="43"/>
      <c r="R4" s="43"/>
      <c r="S4" s="43"/>
      <c r="T4" s="43"/>
      <c r="U4" s="43"/>
      <c r="V4" s="43"/>
      <c r="W4" s="43"/>
      <c r="X4" s="43"/>
      <c r="Y4" s="43"/>
    </row>
    <row r="5">
      <c r="A5" s="139"/>
      <c r="B5" s="49"/>
      <c r="C5" s="148" t="s">
        <v>184</v>
      </c>
      <c r="D5" s="177">
        <f>'Ratios 2021'!D8</f>
        <v>11.38198005</v>
      </c>
      <c r="E5" s="177">
        <f>'Ratios 2022'!D8</f>
        <v>10.40642989</v>
      </c>
      <c r="F5" s="177">
        <f>'Ratios 2023'!D8</f>
        <v>8.179609748</v>
      </c>
      <c r="G5" s="177">
        <f>average(D5:F5)</f>
        <v>9.989339895</v>
      </c>
      <c r="H5" s="150" t="s">
        <v>191</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192</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193</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254</v>
      </c>
      <c r="E9" s="45" t="s">
        <v>255</v>
      </c>
      <c r="F9" s="45" t="s">
        <v>256</v>
      </c>
      <c r="G9" s="59" t="s">
        <v>257</v>
      </c>
      <c r="H9" s="59"/>
      <c r="I9" s="43"/>
      <c r="J9" s="43"/>
      <c r="K9" s="43"/>
      <c r="L9" s="43"/>
      <c r="M9" s="43"/>
      <c r="N9" s="43"/>
      <c r="O9" s="43"/>
      <c r="P9" s="43"/>
      <c r="Q9" s="43"/>
      <c r="R9" s="43"/>
      <c r="S9" s="43"/>
      <c r="T9" s="43"/>
      <c r="U9" s="43"/>
      <c r="V9" s="43"/>
      <c r="W9" s="43"/>
      <c r="X9" s="43"/>
      <c r="Y9" s="43"/>
    </row>
    <row r="10">
      <c r="A10" s="139"/>
      <c r="B10" s="49"/>
      <c r="C10" s="148" t="s">
        <v>192</v>
      </c>
      <c r="D10" s="149">
        <f>'Ratios 2021'!D14</f>
        <v>150.6043786</v>
      </c>
      <c r="E10" s="149">
        <f>'Ratios 2022'!D14</f>
        <v>96.82116066</v>
      </c>
      <c r="F10" s="149">
        <f>'Ratios 2023'!D14</f>
        <v>86.20401842</v>
      </c>
      <c r="G10" s="177">
        <f>average(D10:F10)</f>
        <v>111.2098526</v>
      </c>
      <c r="H10" s="150" t="s">
        <v>191</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197</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198</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254</v>
      </c>
      <c r="E14" s="45" t="s">
        <v>255</v>
      </c>
      <c r="F14" s="45" t="s">
        <v>256</v>
      </c>
      <c r="G14" s="59" t="s">
        <v>257</v>
      </c>
      <c r="H14" s="59"/>
      <c r="I14" s="43"/>
      <c r="J14" s="43"/>
      <c r="K14" s="43"/>
      <c r="L14" s="43"/>
      <c r="M14" s="43"/>
      <c r="N14" s="43"/>
      <c r="O14" s="43"/>
      <c r="P14" s="43"/>
      <c r="Q14" s="43"/>
      <c r="R14" s="43"/>
      <c r="S14" s="43"/>
      <c r="T14" s="43"/>
      <c r="U14" s="43"/>
      <c r="V14" s="43"/>
      <c r="W14" s="43"/>
      <c r="X14" s="43"/>
      <c r="Y14" s="43"/>
    </row>
    <row r="15">
      <c r="A15" s="139"/>
      <c r="B15" s="49"/>
      <c r="C15" s="148" t="s">
        <v>200</v>
      </c>
      <c r="D15" s="180">
        <f>'Ratios 2021'!D20</f>
        <v>143.9789328</v>
      </c>
      <c r="E15" s="180">
        <f>'Ratios 2022'!D20</f>
        <v>90.98204866</v>
      </c>
      <c r="F15" s="180">
        <f>'Ratios 2023'!D20</f>
        <v>84.92840962</v>
      </c>
      <c r="G15" s="177">
        <f>average(D15:F15)</f>
        <v>106.629797</v>
      </c>
      <c r="H15" s="150" t="s">
        <v>191</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202</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203</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254</v>
      </c>
      <c r="E19" s="45" t="s">
        <v>255</v>
      </c>
      <c r="F19" s="45" t="s">
        <v>256</v>
      </c>
      <c r="G19" s="59" t="s">
        <v>257</v>
      </c>
      <c r="H19" s="59"/>
      <c r="I19" s="43"/>
      <c r="J19" s="43"/>
      <c r="K19" s="43"/>
      <c r="L19" s="43"/>
      <c r="M19" s="43"/>
      <c r="N19" s="43"/>
      <c r="O19" s="43"/>
      <c r="P19" s="43"/>
      <c r="Q19" s="43"/>
      <c r="R19" s="43"/>
      <c r="S19" s="43"/>
      <c r="T19" s="43"/>
      <c r="U19" s="43"/>
      <c r="V19" s="43"/>
      <c r="W19" s="43"/>
      <c r="X19" s="43"/>
      <c r="Y19" s="43"/>
    </row>
    <row r="20">
      <c r="A20" s="139"/>
      <c r="B20" s="49"/>
      <c r="C20" s="148" t="s">
        <v>202</v>
      </c>
      <c r="D20" s="163">
        <f>'Ratios 2021'!D26</f>
        <v>0.57084893</v>
      </c>
      <c r="E20" s="163">
        <f>'Ratios 2022'!D26</f>
        <v>0.8660557273</v>
      </c>
      <c r="F20" s="163">
        <f>'Ratios 2023'!D26</f>
        <v>0.8424818014</v>
      </c>
      <c r="G20" s="181">
        <f>average(D20:F20)</f>
        <v>0.7597954862</v>
      </c>
      <c r="H20" s="150" t="s">
        <v>206</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207</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208</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254</v>
      </c>
      <c r="E24" s="45" t="s">
        <v>255</v>
      </c>
      <c r="F24" s="45" t="s">
        <v>256</v>
      </c>
      <c r="G24" s="59" t="s">
        <v>257</v>
      </c>
      <c r="H24" s="59"/>
      <c r="I24" s="43"/>
      <c r="J24" s="43"/>
      <c r="K24" s="43"/>
      <c r="L24" s="43"/>
      <c r="M24" s="43"/>
      <c r="N24" s="43"/>
      <c r="O24" s="43"/>
      <c r="P24" s="43"/>
      <c r="Q24" s="43"/>
      <c r="R24" s="43"/>
      <c r="S24" s="43"/>
      <c r="T24" s="43"/>
      <c r="U24" s="43"/>
      <c r="V24" s="43"/>
      <c r="W24" s="43"/>
      <c r="X24" s="43"/>
      <c r="Y24" s="43"/>
    </row>
    <row r="25">
      <c r="A25" s="139"/>
      <c r="B25" s="49"/>
      <c r="C25" s="148" t="s">
        <v>212</v>
      </c>
      <c r="D25" s="163">
        <f>'Ratios 2021'!D33</f>
        <v>0.05980538188</v>
      </c>
      <c r="E25" s="163">
        <f>'Ratios 2022'!D33</f>
        <v>0.0488024188</v>
      </c>
      <c r="F25" s="163">
        <f>'Ratios 2023'!D33</f>
        <v>0.04343825958</v>
      </c>
      <c r="G25" s="181">
        <f>average(D25:F25)</f>
        <v>0.05068202009</v>
      </c>
      <c r="H25" s="150" t="s">
        <v>213</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214</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215</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254</v>
      </c>
      <c r="E29" s="45" t="s">
        <v>255</v>
      </c>
      <c r="F29" s="45" t="s">
        <v>256</v>
      </c>
      <c r="G29" s="59" t="s">
        <v>257</v>
      </c>
      <c r="H29" s="59"/>
      <c r="I29" s="43"/>
      <c r="J29" s="43"/>
      <c r="K29" s="43"/>
      <c r="L29" s="43"/>
      <c r="M29" s="43"/>
      <c r="N29" s="43"/>
      <c r="O29" s="43"/>
      <c r="P29" s="43"/>
      <c r="Q29" s="43"/>
      <c r="R29" s="43"/>
      <c r="S29" s="43"/>
      <c r="T29" s="43"/>
      <c r="U29" s="43"/>
      <c r="V29" s="43"/>
      <c r="W29" s="43"/>
      <c r="X29" s="43"/>
      <c r="Y29" s="43"/>
    </row>
    <row r="30">
      <c r="A30" s="139"/>
      <c r="B30" s="49"/>
      <c r="C30" s="148" t="s">
        <v>214</v>
      </c>
      <c r="D30" s="163">
        <f>'Ratios 2021'!D38</f>
        <v>0.112151737</v>
      </c>
      <c r="E30" s="163">
        <f>'Ratios 2022'!D38</f>
        <v>0.1072763469</v>
      </c>
      <c r="F30" s="163">
        <f>'Ratios 2023'!D38</f>
        <v>0.09046322258</v>
      </c>
      <c r="G30" s="181">
        <f>average(D30:F30)</f>
        <v>0.1032971022</v>
      </c>
      <c r="H30" s="150" t="s">
        <v>217</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218</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219</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254</v>
      </c>
      <c r="E34" s="45" t="s">
        <v>255</v>
      </c>
      <c r="F34" s="45" t="s">
        <v>256</v>
      </c>
      <c r="G34" s="59" t="s">
        <v>257</v>
      </c>
      <c r="H34" s="59"/>
      <c r="I34" s="43"/>
      <c r="J34" s="43"/>
      <c r="K34" s="43"/>
      <c r="L34" s="43"/>
      <c r="M34" s="43"/>
      <c r="N34" s="43"/>
      <c r="O34" s="43"/>
      <c r="P34" s="43"/>
      <c r="Q34" s="43"/>
      <c r="R34" s="43"/>
      <c r="S34" s="43"/>
      <c r="T34" s="43"/>
      <c r="U34" s="43"/>
      <c r="V34" s="43"/>
      <c r="W34" s="43"/>
      <c r="X34" s="43"/>
      <c r="Y34" s="43"/>
    </row>
    <row r="35">
      <c r="A35" s="139"/>
      <c r="B35" s="49"/>
      <c r="C35" s="148" t="s">
        <v>258</v>
      </c>
      <c r="D35" s="163">
        <f>'Ratios 2021'!E41</f>
        <v>0.916405883</v>
      </c>
      <c r="E35" s="163">
        <f>'Ratios 2022'!E41</f>
        <v>0.9349394278</v>
      </c>
      <c r="F35" s="163">
        <f>'Ratios 2023'!E41</f>
        <v>0.9404382676</v>
      </c>
      <c r="G35" s="181">
        <f t="shared" ref="G35:G37" si="1">average(D35:F35)</f>
        <v>0.9305945262</v>
      </c>
      <c r="H35" s="181"/>
      <c r="I35" s="43"/>
      <c r="J35" s="43"/>
      <c r="K35" s="43"/>
      <c r="L35" s="43"/>
      <c r="M35" s="43"/>
      <c r="N35" s="43"/>
      <c r="O35" s="43"/>
      <c r="P35" s="43"/>
      <c r="Q35" s="43"/>
      <c r="R35" s="43"/>
      <c r="S35" s="43"/>
      <c r="T35" s="43"/>
      <c r="U35" s="43"/>
      <c r="V35" s="43"/>
      <c r="W35" s="43"/>
      <c r="X35" s="43"/>
      <c r="Y35" s="43"/>
    </row>
    <row r="36">
      <c r="A36" s="139"/>
      <c r="B36" s="52"/>
      <c r="C36" s="148" t="s">
        <v>221</v>
      </c>
      <c r="D36" s="163">
        <f>'Ratios 2021'!E42</f>
        <v>0.07241204344</v>
      </c>
      <c r="E36" s="163">
        <f>'Ratios 2022'!E42</f>
        <v>0.05500236743</v>
      </c>
      <c r="F36" s="163">
        <f>'Ratios 2023'!E42</f>
        <v>0.04951059691</v>
      </c>
      <c r="G36" s="181">
        <f t="shared" si="1"/>
        <v>0.05897500259</v>
      </c>
      <c r="H36" s="181"/>
      <c r="I36" s="43"/>
      <c r="J36" s="43"/>
      <c r="K36" s="43"/>
      <c r="L36" s="43"/>
      <c r="M36" s="43"/>
      <c r="N36" s="43"/>
      <c r="O36" s="43"/>
      <c r="P36" s="43"/>
      <c r="Q36" s="43"/>
      <c r="R36" s="43"/>
      <c r="S36" s="43"/>
      <c r="T36" s="43"/>
      <c r="U36" s="43"/>
      <c r="V36" s="43"/>
      <c r="W36" s="43"/>
      <c r="X36" s="43"/>
      <c r="Y36" s="43"/>
    </row>
    <row r="37">
      <c r="A37" s="139"/>
      <c r="B37" s="182"/>
      <c r="C37" s="148" t="s">
        <v>222</v>
      </c>
      <c r="D37" s="163">
        <f>'Ratios 2021'!E43</f>
        <v>0.01118207355</v>
      </c>
      <c r="E37" s="163">
        <f>'Ratios 2022'!E43</f>
        <v>0.01005820473</v>
      </c>
      <c r="F37" s="163">
        <f>'Ratios 2023'!E43</f>
        <v>0.01005113548</v>
      </c>
      <c r="G37" s="181">
        <f t="shared" si="1"/>
        <v>0.01043047125</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223</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224</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254</v>
      </c>
      <c r="E41" s="45" t="s">
        <v>255</v>
      </c>
      <c r="F41" s="45" t="s">
        <v>256</v>
      </c>
      <c r="G41" s="59" t="s">
        <v>257</v>
      </c>
      <c r="H41" s="59"/>
      <c r="I41" s="43"/>
      <c r="J41" s="43"/>
      <c r="K41" s="43"/>
      <c r="L41" s="43"/>
      <c r="M41" s="43"/>
      <c r="N41" s="43"/>
      <c r="O41" s="43"/>
      <c r="P41" s="43"/>
      <c r="Q41" s="43"/>
      <c r="R41" s="43"/>
      <c r="S41" s="43"/>
      <c r="T41" s="43"/>
      <c r="U41" s="43"/>
      <c r="V41" s="43"/>
      <c r="W41" s="43"/>
      <c r="X41" s="43"/>
      <c r="Y41" s="43"/>
    </row>
    <row r="42">
      <c r="A42" s="139"/>
      <c r="B42" s="49"/>
      <c r="C42" s="148" t="s">
        <v>227</v>
      </c>
      <c r="D42" s="166">
        <f>'Ratios 2021'!D49</f>
        <v>119.140791</v>
      </c>
      <c r="E42" s="166">
        <f>'Ratios 2022'!D49</f>
        <v>85.99712943</v>
      </c>
      <c r="F42" s="166">
        <f>'Ratios 2023'!D49</f>
        <v>105.2668766</v>
      </c>
      <c r="G42" s="183">
        <f>average(D42:F42)</f>
        <v>103.4682657</v>
      </c>
      <c r="H42" s="150" t="s">
        <v>228</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229</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230</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254</v>
      </c>
      <c r="E46" s="45" t="s">
        <v>255</v>
      </c>
      <c r="F46" s="45" t="s">
        <v>256</v>
      </c>
      <c r="G46" s="59" t="s">
        <v>257</v>
      </c>
      <c r="H46" s="59"/>
      <c r="I46" s="43"/>
      <c r="J46" s="43"/>
      <c r="K46" s="43"/>
      <c r="L46" s="43"/>
      <c r="M46" s="43"/>
      <c r="N46" s="43"/>
      <c r="O46" s="43"/>
      <c r="P46" s="43"/>
      <c r="Q46" s="43"/>
      <c r="R46" s="43"/>
      <c r="S46" s="43"/>
      <c r="T46" s="43"/>
      <c r="U46" s="43"/>
      <c r="V46" s="43"/>
      <c r="W46" s="43"/>
      <c r="X46" s="43"/>
      <c r="Y46" s="43"/>
    </row>
    <row r="47">
      <c r="A47" s="139"/>
      <c r="B47" s="49"/>
      <c r="C47" s="148" t="s">
        <v>233</v>
      </c>
      <c r="D47" s="149">
        <f>'Ratios 2021'!D54</f>
        <v>9.806426594</v>
      </c>
      <c r="E47" s="149">
        <f>'Ratios 2022'!D54</f>
        <v>5.738855994</v>
      </c>
      <c r="F47" s="149">
        <f>'Ratios 2023'!D54</f>
        <v>1.952704473</v>
      </c>
      <c r="G47" s="177">
        <f>average(D47:F47)</f>
        <v>5.832662354</v>
      </c>
      <c r="H47" s="150" t="s">
        <v>234</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235</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236</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254</v>
      </c>
      <c r="E51" s="45" t="s">
        <v>255</v>
      </c>
      <c r="F51" s="45" t="s">
        <v>256</v>
      </c>
      <c r="G51" s="59" t="s">
        <v>257</v>
      </c>
      <c r="H51" s="59"/>
      <c r="I51" s="43"/>
      <c r="J51" s="43"/>
      <c r="K51" s="43"/>
      <c r="L51" s="43"/>
      <c r="M51" s="43"/>
      <c r="N51" s="43"/>
      <c r="O51" s="43"/>
      <c r="P51" s="43"/>
      <c r="Q51" s="43"/>
      <c r="R51" s="43"/>
      <c r="S51" s="43"/>
      <c r="T51" s="43"/>
      <c r="U51" s="43"/>
      <c r="V51" s="43"/>
      <c r="W51" s="43"/>
      <c r="X51" s="43"/>
      <c r="Y51" s="43"/>
    </row>
    <row r="52">
      <c r="A52" s="139"/>
      <c r="B52" s="49"/>
      <c r="C52" s="148" t="s">
        <v>239</v>
      </c>
      <c r="D52" s="184">
        <f>'Ratios 2021'!D59</f>
        <v>0</v>
      </c>
      <c r="E52" s="184">
        <f>'Ratios 2022'!D59</f>
        <v>0</v>
      </c>
      <c r="F52" s="184">
        <f>'Ratios 2023'!D59</f>
        <v>0</v>
      </c>
      <c r="G52" s="185">
        <f>average(D52:F52)</f>
        <v>0</v>
      </c>
      <c r="H52" s="150" t="s">
        <v>240</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COMMUNITY FOUNDATION FOR NE FLORIDA</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COMMUNITY FOUNDATION FOR NE FLORIDA</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102361.0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6.3303534E7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3.4424312E7</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63405895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27563.0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27563</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8049950.0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1.9064835E7</v>
      </c>
      <c r="E26" s="50">
        <v>1.25346491E8</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1.9078047E7</v>
      </c>
      <c r="E27" s="50">
        <v>8.640448E7</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-13212</v>
      </c>
      <c r="E28" s="75">
        <f t="shared" si="2"/>
        <v>38942011</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38928799</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1253876.0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98</v>
      </c>
      <c r="D40" s="74"/>
      <c r="E40" s="48">
        <v>7795.0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99</v>
      </c>
      <c r="D41" s="74"/>
      <c r="E41" s="48">
        <v>-780206.0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100</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481465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110893672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COMMUNITY FOUNDATION FOR NE FLORIDA</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41597302</v>
      </c>
      <c r="D3" s="99">
        <v>4.1597302E7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202792</v>
      </c>
      <c r="D4" s="99">
        <v>202792.0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1118059</v>
      </c>
      <c r="D7" s="99">
        <v>450973.0</v>
      </c>
      <c r="E7" s="99">
        <v>310718.0</v>
      </c>
      <c r="F7" s="99">
        <v>356368.0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112</v>
      </c>
      <c r="C9" s="98">
        <f t="shared" si="1"/>
        <v>1294378</v>
      </c>
      <c r="D9" s="99">
        <v>667882.0</v>
      </c>
      <c r="E9" s="99">
        <v>555793.0</v>
      </c>
      <c r="F9" s="99">
        <v>70703.0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128079</v>
      </c>
      <c r="D10" s="99">
        <v>69794.0</v>
      </c>
      <c r="E10" s="99">
        <v>54902.0</v>
      </c>
      <c r="F10" s="99">
        <v>3383.0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142480</v>
      </c>
      <c r="D11" s="99">
        <v>67304.0</v>
      </c>
      <c r="E11" s="99">
        <v>70579.0</v>
      </c>
      <c r="F11" s="99">
        <v>4597.0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163346</v>
      </c>
      <c r="D12" s="99">
        <v>80207.0</v>
      </c>
      <c r="E12" s="99">
        <v>59067.0</v>
      </c>
      <c r="F12" s="99">
        <v>24072.0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13229</v>
      </c>
      <c r="D15" s="99">
        <v>0.0</v>
      </c>
      <c r="E15" s="99">
        <v>13229.0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56368</v>
      </c>
      <c r="D16" s="99">
        <v>0.0</v>
      </c>
      <c r="E16" s="99">
        <v>56368.0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1919451</v>
      </c>
      <c r="D19" s="99">
        <v>0.0</v>
      </c>
      <c r="E19" s="99">
        <v>1919451.0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79976</v>
      </c>
      <c r="D20" s="99">
        <v>39905.0</v>
      </c>
      <c r="E20" s="99">
        <v>36593.0</v>
      </c>
      <c r="F20" s="99">
        <v>3478.0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65991</v>
      </c>
      <c r="D22" s="99">
        <v>35137.0</v>
      </c>
      <c r="E22" s="99">
        <v>22822.0</v>
      </c>
      <c r="F22" s="99">
        <v>8032.0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70367</v>
      </c>
      <c r="D23" s="99">
        <v>45739.0</v>
      </c>
      <c r="E23" s="99">
        <v>14073.0</v>
      </c>
      <c r="F23" s="99">
        <v>10555.0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267424</v>
      </c>
      <c r="D25" s="99">
        <v>61187.0</v>
      </c>
      <c r="E25" s="99">
        <v>190022.0</v>
      </c>
      <c r="F25" s="99">
        <v>16215.0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12110</v>
      </c>
      <c r="D26" s="99">
        <v>7872.0</v>
      </c>
      <c r="E26" s="99">
        <v>2421.0</v>
      </c>
      <c r="F26" s="99">
        <v>1817.0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64803</v>
      </c>
      <c r="D28" s="99">
        <v>52102.0</v>
      </c>
      <c r="E28" s="99">
        <v>8115.0</v>
      </c>
      <c r="F28" s="99">
        <v>4586.0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29857</v>
      </c>
      <c r="D31" s="99">
        <v>6561.0</v>
      </c>
      <c r="E31" s="99">
        <v>21584.0</v>
      </c>
      <c r="F31" s="99">
        <v>1712.0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15363</v>
      </c>
      <c r="D32" s="99">
        <v>1352.0</v>
      </c>
      <c r="E32" s="99">
        <v>13658.0</v>
      </c>
      <c r="F32" s="99">
        <v>353.0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102" t="s">
        <v>137</v>
      </c>
      <c r="C34" s="98">
        <f t="shared" si="1"/>
        <v>155976</v>
      </c>
      <c r="D34" s="99">
        <v>155976.0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138</v>
      </c>
      <c r="C35" s="98">
        <f t="shared" si="1"/>
        <v>70747</v>
      </c>
      <c r="D35" s="99">
        <v>35373.0</v>
      </c>
      <c r="E35" s="99">
        <v>17687.0</v>
      </c>
      <c r="F35" s="99">
        <v>17687.0</v>
      </c>
      <c r="G35" s="43"/>
      <c r="H35" s="43"/>
      <c r="I35" s="43"/>
      <c r="J35" s="43"/>
      <c r="K35" s="43"/>
      <c r="L35" s="43"/>
      <c r="M35" s="43"/>
      <c r="N35" s="43"/>
      <c r="O35" s="43"/>
      <c r="P35" s="43"/>
      <c r="Q35" s="43"/>
      <c r="R35" s="43"/>
      <c r="S35" s="43"/>
      <c r="T35" s="43"/>
      <c r="U35" s="43"/>
      <c r="V35" s="43"/>
      <c r="W35" s="43"/>
      <c r="X35" s="43"/>
      <c r="Y35" s="43"/>
      <c r="Z35" s="43"/>
    </row>
    <row r="36">
      <c r="A36" s="45" t="s">
        <v>50</v>
      </c>
      <c r="B36" s="103" t="s">
        <v>139</v>
      </c>
      <c r="C36" s="98">
        <f t="shared" si="1"/>
        <v>50899</v>
      </c>
      <c r="D36" s="99">
        <v>33084.0</v>
      </c>
      <c r="E36" s="99">
        <v>10180.0</v>
      </c>
      <c r="F36" s="99">
        <v>7635.0</v>
      </c>
      <c r="G36" s="43"/>
      <c r="H36" s="43"/>
      <c r="I36" s="43"/>
      <c r="J36" s="43"/>
      <c r="K36" s="43"/>
      <c r="L36" s="43"/>
      <c r="M36" s="43"/>
      <c r="N36" s="43"/>
      <c r="O36" s="43"/>
      <c r="P36" s="43"/>
      <c r="Q36" s="43"/>
      <c r="R36" s="43"/>
      <c r="S36" s="43"/>
      <c r="T36" s="43"/>
      <c r="U36" s="43"/>
      <c r="V36" s="43"/>
      <c r="W36" s="43"/>
      <c r="X36" s="43"/>
      <c r="Y36" s="43"/>
      <c r="Z36" s="43"/>
    </row>
    <row r="37">
      <c r="A37" s="45" t="s">
        <v>52</v>
      </c>
      <c r="B37" s="103" t="s">
        <v>140</v>
      </c>
      <c r="C37" s="98">
        <f t="shared" si="1"/>
        <v>32338</v>
      </c>
      <c r="D37" s="99">
        <v>0.0</v>
      </c>
      <c r="E37" s="99">
        <v>32338.0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42074</v>
      </c>
      <c r="D38" s="99">
        <v>4338.0</v>
      </c>
      <c r="E38" s="99">
        <v>36736.0</v>
      </c>
      <c r="F38" s="99">
        <v>1000.0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4">
        <f t="shared" ref="C40:F40" si="2">sum(C3:C39)</f>
        <v>47593409</v>
      </c>
      <c r="D40" s="104">
        <f t="shared" si="2"/>
        <v>43614880</v>
      </c>
      <c r="E40" s="104">
        <f t="shared" si="2"/>
        <v>3446336</v>
      </c>
      <c r="F40" s="104">
        <f t="shared" si="2"/>
        <v>532193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COMMUNITY FOUNDATION FOR NE FLORIDA</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143</v>
      </c>
      <c r="B2" s="45">
        <v>1.0</v>
      </c>
      <c r="C2" s="46" t="s">
        <v>144</v>
      </c>
      <c r="D2" s="111"/>
      <c r="E2" s="112">
        <v>0.0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3"/>
      <c r="E3" s="112">
        <v>4.511395E7</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1"/>
      <c r="E4" s="112">
        <v>279291.0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1"/>
      <c r="E10" s="112">
        <v>74403.0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2">
        <v>1130189.0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2">
        <v>595840.0</v>
      </c>
      <c r="E12" s="109">
        <f>D11-D12</f>
        <v>534349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3"/>
      <c r="E13" s="112">
        <v>4.74724813E8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3"/>
      <c r="E14" s="112">
        <v>9.631254E7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3"/>
      <c r="E17" s="112">
        <v>1.3327741E7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4"/>
      <c r="E18" s="115">
        <f>sum(E2:E17)</f>
        <v>630367087</v>
      </c>
      <c r="F18" s="43"/>
      <c r="G18" s="43"/>
      <c r="H18" s="43"/>
      <c r="I18" s="43"/>
      <c r="J18" s="43"/>
      <c r="K18" s="43"/>
      <c r="L18" s="43"/>
      <c r="M18" s="43"/>
      <c r="N18" s="43"/>
      <c r="O18" s="43"/>
      <c r="P18" s="43"/>
      <c r="Q18" s="43"/>
      <c r="R18" s="43"/>
      <c r="S18" s="43"/>
      <c r="T18" s="43"/>
      <c r="U18" s="43"/>
      <c r="V18" s="43"/>
      <c r="W18" s="43"/>
      <c r="X18" s="43"/>
      <c r="Y18" s="43"/>
      <c r="Z18" s="43"/>
    </row>
    <row r="19">
      <c r="A19" s="44" t="s">
        <v>163</v>
      </c>
      <c r="B19" s="116">
        <v>17.0</v>
      </c>
      <c r="C19" s="117" t="s">
        <v>164</v>
      </c>
      <c r="D19" s="118"/>
      <c r="E19" s="112">
        <v>274096.0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165</v>
      </c>
      <c r="D20" s="118"/>
      <c r="E20" s="112">
        <v>4062297.0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166</v>
      </c>
      <c r="D21" s="118"/>
      <c r="E21" s="112">
        <v>300122.0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167</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168</v>
      </c>
      <c r="D23" s="118"/>
      <c r="E23" s="119">
        <v>2.0264088E7</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169</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170</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171</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172</v>
      </c>
      <c r="D27" s="118"/>
      <c r="E27" s="119">
        <v>639975.0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173</v>
      </c>
      <c r="D28" s="126"/>
      <c r="E28" s="127">
        <f>sum(E19:E27)</f>
        <v>25540578</v>
      </c>
      <c r="F28" s="43"/>
      <c r="G28" s="43"/>
      <c r="H28" s="43"/>
      <c r="I28" s="43"/>
      <c r="J28" s="43"/>
      <c r="K28" s="43"/>
      <c r="L28" s="43"/>
      <c r="M28" s="43"/>
      <c r="N28" s="43"/>
      <c r="O28" s="43"/>
      <c r="P28" s="43"/>
      <c r="Q28" s="43"/>
      <c r="R28" s="43"/>
      <c r="S28" s="43"/>
      <c r="T28" s="43"/>
      <c r="U28" s="43"/>
      <c r="V28" s="43"/>
      <c r="W28" s="43"/>
      <c r="X28" s="43"/>
      <c r="Y28" s="43"/>
      <c r="Z28" s="43"/>
    </row>
    <row r="29">
      <c r="A29" s="65" t="s">
        <v>174</v>
      </c>
      <c r="B29" s="128"/>
      <c r="C29" s="129" t="s">
        <v>175</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176</v>
      </c>
      <c r="D30" s="118"/>
      <c r="E30" s="112">
        <v>5.97314649E8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177</v>
      </c>
      <c r="D31" s="118"/>
      <c r="E31" s="112">
        <v>7511860.0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178</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179</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180</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181</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182</v>
      </c>
      <c r="D36" s="132"/>
      <c r="E36" s="127">
        <f>sum(E30:E35)</f>
        <v>604826509</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183</v>
      </c>
      <c r="D37" s="136"/>
      <c r="E37" s="137">
        <f>E36+E28</f>
        <v>630367087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COMMUNITY FOUNDATION FOR NE FLORIDA</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184</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185</v>
      </c>
      <c r="C3" s="145" t="s">
        <v>186</v>
      </c>
      <c r="D3" s="146">
        <f>'Expenses 2021'!C40</f>
        <v>47593409</v>
      </c>
      <c r="E3" s="147"/>
      <c r="F3" s="43"/>
      <c r="G3" s="43"/>
      <c r="H3" s="43"/>
      <c r="I3" s="43"/>
      <c r="J3" s="43"/>
      <c r="K3" s="43"/>
      <c r="L3" s="43"/>
      <c r="M3" s="43"/>
      <c r="N3" s="43"/>
      <c r="O3" s="43"/>
      <c r="P3" s="43"/>
      <c r="Q3" s="43"/>
      <c r="R3" s="43"/>
      <c r="S3" s="43"/>
      <c r="T3" s="43"/>
      <c r="U3" s="43"/>
      <c r="V3" s="43"/>
      <c r="W3" s="43"/>
      <c r="X3" s="43"/>
      <c r="Y3" s="43"/>
    </row>
    <row r="4">
      <c r="A4" s="139"/>
      <c r="B4" s="49"/>
      <c r="C4" s="145" t="s">
        <v>187</v>
      </c>
      <c r="D4" s="146">
        <f>'Expenses 2021'!C31</f>
        <v>29857</v>
      </c>
      <c r="E4" s="147"/>
      <c r="F4" s="43"/>
      <c r="G4" s="43"/>
      <c r="H4" s="43"/>
      <c r="I4" s="43"/>
      <c r="J4" s="43"/>
      <c r="K4" s="43"/>
      <c r="L4" s="43"/>
      <c r="M4" s="43"/>
      <c r="N4" s="43"/>
      <c r="O4" s="43"/>
      <c r="P4" s="43"/>
      <c r="Q4" s="43"/>
      <c r="R4" s="43"/>
      <c r="S4" s="43"/>
      <c r="T4" s="43"/>
      <c r="U4" s="43"/>
      <c r="V4" s="43"/>
      <c r="W4" s="43"/>
      <c r="X4" s="43"/>
      <c r="Y4" s="43"/>
    </row>
    <row r="5">
      <c r="A5" s="139"/>
      <c r="B5" s="49"/>
      <c r="C5" s="145" t="s">
        <v>188</v>
      </c>
      <c r="D5" s="146">
        <f>D3-D4</f>
        <v>47563552</v>
      </c>
      <c r="E5" s="147"/>
      <c r="F5" s="43"/>
      <c r="G5" s="43"/>
      <c r="H5" s="43"/>
      <c r="I5" s="43"/>
      <c r="J5" s="43"/>
      <c r="K5" s="43"/>
      <c r="L5" s="43"/>
      <c r="M5" s="43"/>
      <c r="N5" s="43"/>
      <c r="O5" s="43"/>
      <c r="P5" s="43"/>
      <c r="Q5" s="43"/>
      <c r="R5" s="43"/>
      <c r="S5" s="43"/>
      <c r="T5" s="43"/>
      <c r="U5" s="43"/>
      <c r="V5" s="43"/>
      <c r="W5" s="43"/>
      <c r="X5" s="43"/>
      <c r="Y5" s="43"/>
    </row>
    <row r="6">
      <c r="A6" s="139"/>
      <c r="B6" s="49"/>
      <c r="C6" s="145" t="s">
        <v>189</v>
      </c>
      <c r="D6" s="146">
        <f>D5/12</f>
        <v>3963629.333</v>
      </c>
      <c r="E6" s="147"/>
      <c r="F6" s="43"/>
      <c r="G6" s="43"/>
      <c r="H6" s="43"/>
      <c r="I6" s="43"/>
      <c r="J6" s="43"/>
      <c r="K6" s="43"/>
      <c r="L6" s="43"/>
      <c r="M6" s="43"/>
      <c r="N6" s="43"/>
      <c r="O6" s="43"/>
      <c r="P6" s="43"/>
      <c r="Q6" s="43"/>
      <c r="R6" s="43"/>
      <c r="S6" s="43"/>
      <c r="T6" s="43"/>
      <c r="U6" s="43"/>
      <c r="V6" s="43"/>
      <c r="W6" s="43"/>
      <c r="X6" s="43"/>
      <c r="Y6" s="43"/>
    </row>
    <row r="7">
      <c r="A7" s="139"/>
      <c r="B7" s="49"/>
      <c r="C7" s="145" t="s">
        <v>190</v>
      </c>
      <c r="D7" s="75">
        <f>'Balance Sheet 2021'!E2+'Balance Sheet 2021'!E3</f>
        <v>45113950</v>
      </c>
      <c r="E7" s="147"/>
      <c r="F7" s="43"/>
      <c r="G7" s="43"/>
      <c r="H7" s="43"/>
      <c r="I7" s="43"/>
      <c r="J7" s="43"/>
      <c r="K7" s="43"/>
      <c r="L7" s="43"/>
      <c r="M7" s="43"/>
      <c r="N7" s="43"/>
      <c r="O7" s="43"/>
      <c r="P7" s="43"/>
      <c r="Q7" s="43"/>
      <c r="R7" s="43"/>
      <c r="S7" s="43"/>
      <c r="T7" s="43"/>
      <c r="U7" s="43"/>
      <c r="V7" s="43"/>
      <c r="W7" s="43"/>
      <c r="X7" s="43"/>
      <c r="Y7" s="43"/>
    </row>
    <row r="8">
      <c r="A8" s="139"/>
      <c r="B8" s="49"/>
      <c r="C8" s="148" t="s">
        <v>184</v>
      </c>
      <c r="D8" s="149">
        <f>D7/D6</f>
        <v>11.38198005</v>
      </c>
      <c r="E8" s="150" t="s">
        <v>191</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192</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193</v>
      </c>
      <c r="C11" s="145" t="s">
        <v>194</v>
      </c>
      <c r="D11" s="75">
        <f>'Balance Sheet 2021'!E30</f>
        <v>597314649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195</v>
      </c>
      <c r="D12" s="75">
        <f>'Expenses 2021'!C40</f>
        <v>47593409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196</v>
      </c>
      <c r="D13" s="146">
        <f>D12/12</f>
        <v>3966117.417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192</v>
      </c>
      <c r="D14" s="149">
        <f>D11/D13</f>
        <v>150.6043786</v>
      </c>
      <c r="E14" s="150" t="s">
        <v>191</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197</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198</v>
      </c>
      <c r="C17" s="145" t="s">
        <v>199</v>
      </c>
      <c r="D17" s="75">
        <f>sum('Balance Sheet 2021'!E13:E15)</f>
        <v>571037353</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195</v>
      </c>
      <c r="D18" s="75">
        <f>'Expenses 2021'!C40</f>
        <v>47593409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196</v>
      </c>
      <c r="D19" s="146">
        <f>D18/12</f>
        <v>3966117.417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200</v>
      </c>
      <c r="D20" s="149">
        <f>D17/D19</f>
        <v>143.9789328</v>
      </c>
      <c r="E20" s="150" t="s">
        <v>191</v>
      </c>
      <c r="F20" s="43"/>
      <c r="G20" s="43"/>
      <c r="H20" s="43"/>
      <c r="I20" s="43"/>
      <c r="J20" s="43"/>
      <c r="K20" s="43"/>
      <c r="L20" s="43"/>
      <c r="M20" s="43"/>
      <c r="N20" s="43"/>
      <c r="O20" s="43"/>
      <c r="P20" s="43"/>
      <c r="Q20" s="43"/>
      <c r="R20" s="43"/>
      <c r="S20" s="43"/>
      <c r="T20" s="43"/>
      <c r="U20" s="43"/>
      <c r="V20" s="43"/>
      <c r="W20" s="43"/>
      <c r="X20" s="43"/>
      <c r="Y20" s="43"/>
    </row>
    <row r="21">
      <c r="A21" s="139"/>
      <c r="B21" s="49"/>
      <c r="C21" s="154" t="s">
        <v>201</v>
      </c>
      <c r="D21" s="155">
        <f>D20+D8</f>
        <v>155.3609128</v>
      </c>
      <c r="E21" s="156" t="s">
        <v>191</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202</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203</v>
      </c>
      <c r="C24" s="160"/>
      <c r="D24" s="161">
        <f>max('Revenues 2021'!E2:E7,'Revenues 2021'!F10:F15)</f>
        <v>63303534</v>
      </c>
      <c r="E24" s="162" t="s">
        <v>204</v>
      </c>
      <c r="F24" s="43"/>
      <c r="G24" s="43"/>
      <c r="H24" s="43"/>
      <c r="I24" s="43"/>
      <c r="J24" s="43"/>
      <c r="K24" s="43"/>
      <c r="L24" s="43"/>
      <c r="M24" s="43"/>
      <c r="N24" s="43"/>
      <c r="O24" s="43"/>
      <c r="P24" s="43"/>
      <c r="Q24" s="43"/>
      <c r="R24" s="43"/>
      <c r="S24" s="43"/>
      <c r="T24" s="43"/>
      <c r="U24" s="43"/>
      <c r="V24" s="43"/>
      <c r="W24" s="43"/>
      <c r="X24" s="43"/>
      <c r="Y24" s="43"/>
    </row>
    <row r="25">
      <c r="A25" s="139"/>
      <c r="B25" s="49"/>
      <c r="C25" s="145" t="s">
        <v>205</v>
      </c>
      <c r="D25" s="146">
        <f>'Revenues 2021'!F44</f>
        <v>110893672</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202</v>
      </c>
      <c r="D26" s="163">
        <f>D24/D25</f>
        <v>0.57084893</v>
      </c>
      <c r="E26" s="150" t="s">
        <v>206</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207</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208</v>
      </c>
      <c r="C29" s="145" t="s">
        <v>209</v>
      </c>
      <c r="D29" s="75">
        <f>SUM('Expenses 2021'!C7:C9)</f>
        <v>2412437</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210</v>
      </c>
      <c r="D30" s="75">
        <f>SUM('Expenses 2021'!C10:C12)</f>
        <v>433905</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211</v>
      </c>
      <c r="D31" s="75">
        <f>sum(D29:D30)</f>
        <v>2846342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186</v>
      </c>
      <c r="D32" s="75">
        <f>'Expenses 2021'!C40</f>
        <v>47593409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212</v>
      </c>
      <c r="D33" s="163">
        <f>D31/D32</f>
        <v>0.05980538188</v>
      </c>
      <c r="E33" s="150" t="s">
        <v>213</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214</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215</v>
      </c>
      <c r="C36" s="145" t="s">
        <v>216</v>
      </c>
      <c r="D36" s="75">
        <f>SUM('Expenses 2021'!C10:C11)</f>
        <v>270559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209</v>
      </c>
      <c r="D37" s="75">
        <f>SUM('Expenses 2021'!C7:C9)</f>
        <v>2412437</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214</v>
      </c>
      <c r="D38" s="163">
        <f>D36/D37</f>
        <v>0.112151737</v>
      </c>
      <c r="E38" s="150" t="s">
        <v>217</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218</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219</v>
      </c>
      <c r="C41" s="148" t="s">
        <v>220</v>
      </c>
      <c r="D41" s="75">
        <f>'Expenses 2021'!D40</f>
        <v>43614880</v>
      </c>
      <c r="E41" s="165">
        <f t="shared" ref="E41:E44" si="1">D41/$D$44</f>
        <v>0.916405883</v>
      </c>
      <c r="F41" s="43"/>
      <c r="G41" s="43"/>
      <c r="H41" s="43"/>
      <c r="I41" s="43"/>
      <c r="J41" s="43"/>
      <c r="K41" s="43"/>
      <c r="L41" s="43"/>
      <c r="M41" s="43"/>
      <c r="N41" s="43"/>
      <c r="O41" s="43"/>
      <c r="P41" s="43"/>
      <c r="Q41" s="43"/>
      <c r="R41" s="43"/>
      <c r="S41" s="43"/>
      <c r="T41" s="43"/>
      <c r="U41" s="43"/>
      <c r="V41" s="43"/>
      <c r="W41" s="43"/>
      <c r="X41" s="43"/>
      <c r="Y41" s="43"/>
    </row>
    <row r="42">
      <c r="A42" s="139"/>
      <c r="B42" s="49"/>
      <c r="C42" s="148" t="s">
        <v>221</v>
      </c>
      <c r="D42" s="146">
        <f>'Expenses 2021'!E40</f>
        <v>3446336</v>
      </c>
      <c r="E42" s="165">
        <f t="shared" si="1"/>
        <v>0.07241204344</v>
      </c>
      <c r="F42" s="43"/>
      <c r="G42" s="43"/>
      <c r="H42" s="43"/>
      <c r="I42" s="43"/>
      <c r="J42" s="43"/>
      <c r="K42" s="43"/>
      <c r="L42" s="43"/>
      <c r="M42" s="43"/>
      <c r="N42" s="43"/>
      <c r="O42" s="43"/>
      <c r="P42" s="43"/>
      <c r="Q42" s="43"/>
      <c r="R42" s="43"/>
      <c r="S42" s="43"/>
      <c r="T42" s="43"/>
      <c r="U42" s="43"/>
      <c r="V42" s="43"/>
      <c r="W42" s="43"/>
      <c r="X42" s="43"/>
      <c r="Y42" s="43"/>
    </row>
    <row r="43">
      <c r="A43" s="139"/>
      <c r="B43" s="49"/>
      <c r="C43" s="148" t="s">
        <v>222</v>
      </c>
      <c r="D43" s="146">
        <f>'Expenses 2021'!F40</f>
        <v>532193</v>
      </c>
      <c r="E43" s="165">
        <f t="shared" si="1"/>
        <v>0.01118207355</v>
      </c>
      <c r="F43" s="43"/>
      <c r="G43" s="43"/>
      <c r="H43" s="43"/>
      <c r="I43" s="43"/>
      <c r="J43" s="43"/>
      <c r="K43" s="43"/>
      <c r="L43" s="43"/>
      <c r="M43" s="43"/>
      <c r="N43" s="43"/>
      <c r="O43" s="43"/>
      <c r="P43" s="43"/>
      <c r="Q43" s="43"/>
      <c r="R43" s="43"/>
      <c r="S43" s="43"/>
      <c r="T43" s="43"/>
      <c r="U43" s="43"/>
      <c r="V43" s="43"/>
      <c r="W43" s="43"/>
      <c r="X43" s="43"/>
      <c r="Y43" s="43"/>
    </row>
    <row r="44">
      <c r="A44" s="139"/>
      <c r="B44" s="49"/>
      <c r="C44" s="145" t="s">
        <v>186</v>
      </c>
      <c r="D44" s="146">
        <f>sum(D41:D43)</f>
        <v>47593409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223</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224</v>
      </c>
      <c r="C47" s="145" t="s">
        <v>225</v>
      </c>
      <c r="D47" s="146">
        <f>'Revenues 2021'!F9</f>
        <v>63405895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226</v>
      </c>
      <c r="D48" s="146">
        <f>'Expenses 2021'!F40</f>
        <v>532193</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227</v>
      </c>
      <c r="D49" s="166">
        <f>if(D48=0, "$0",D47/D48)</f>
        <v>119.140791</v>
      </c>
      <c r="E49" s="150" t="s">
        <v>228</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229</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230</v>
      </c>
      <c r="C52" s="145" t="s">
        <v>231</v>
      </c>
      <c r="D52" s="146">
        <f>sum('Balance Sheet 2021'!E2:E10)</f>
        <v>45467644</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232</v>
      </c>
      <c r="D53" s="146">
        <f>sum('Balance Sheet 2021'!E19:E22)</f>
        <v>4636515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233</v>
      </c>
      <c r="D54" s="168">
        <f>D52/D53</f>
        <v>9.806426594</v>
      </c>
      <c r="E54" s="150" t="s">
        <v>234</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235</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236</v>
      </c>
      <c r="C57" s="145" t="s">
        <v>237</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238</v>
      </c>
      <c r="D58" s="146">
        <f>'Balance Sheet 2021'!E18</f>
        <v>630367087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239</v>
      </c>
      <c r="D59" s="169">
        <f>D57/D58</f>
        <v>0</v>
      </c>
      <c r="E59" s="150" t="s">
        <v>240</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COMMUNITY FOUNDATION FOR NE FLORIDA</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13078.0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5.487029E7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1.5168556E7</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54883368</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1.1669546E7</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241</v>
      </c>
      <c r="D26" s="50">
        <v>1.24321357E8</v>
      </c>
      <c r="E26" s="50">
        <v>431049.0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1.27639951E8</v>
      </c>
      <c r="E27" s="50">
        <v>435000.0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-3318594</v>
      </c>
      <c r="E28" s="75">
        <f t="shared" si="2"/>
        <v>-3951</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-3322545</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242</v>
      </c>
      <c r="D39" s="74"/>
      <c r="E39" s="48">
        <v>2787011.0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243</v>
      </c>
      <c r="D40" s="74"/>
      <c r="E40" s="48">
        <v>155760.0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97</v>
      </c>
      <c r="D41" s="74"/>
      <c r="E41" s="48">
        <v>-2816605.0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126166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63356535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COMMUNITY FOUNDATION FOR NE FLORIDA</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56841719</v>
      </c>
      <c r="D3" s="99">
        <v>5.6841719E7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191087</v>
      </c>
      <c r="D4" s="99">
        <v>191087.0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1093052</v>
      </c>
      <c r="D7" s="99">
        <v>435372.0</v>
      </c>
      <c r="E7" s="99">
        <v>309581.0</v>
      </c>
      <c r="F7" s="99">
        <v>348099.0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1547064</v>
      </c>
      <c r="D9" s="99">
        <v>817321.0</v>
      </c>
      <c r="E9" s="99">
        <v>634945.0</v>
      </c>
      <c r="F9" s="99">
        <v>94798.0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142311</v>
      </c>
      <c r="D10" s="99">
        <v>72204.0</v>
      </c>
      <c r="E10" s="99">
        <v>61117.0</v>
      </c>
      <c r="F10" s="99">
        <v>8990.0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140911</v>
      </c>
      <c r="D11" s="99">
        <v>72730.0</v>
      </c>
      <c r="E11" s="99">
        <v>60747.0</v>
      </c>
      <c r="F11" s="99">
        <v>7434.0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173209</v>
      </c>
      <c r="D12" s="99">
        <v>86374.0</v>
      </c>
      <c r="E12" s="99">
        <v>62726.0</v>
      </c>
      <c r="F12" s="99">
        <v>24109.0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34550</v>
      </c>
      <c r="D15" s="99">
        <v>0.0</v>
      </c>
      <c r="E15" s="99">
        <v>34550.0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129345</v>
      </c>
      <c r="D16" s="99">
        <v>0.0</v>
      </c>
      <c r="E16" s="99">
        <v>129345.0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1850509</v>
      </c>
      <c r="D19" s="99">
        <v>0.0</v>
      </c>
      <c r="E19" s="99">
        <v>1850509.0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47625</v>
      </c>
      <c r="D20" s="99">
        <v>43626.0</v>
      </c>
      <c r="E20" s="99">
        <v>3999.0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66410</v>
      </c>
      <c r="D22" s="99">
        <v>38010.0</v>
      </c>
      <c r="E22" s="99">
        <v>19636.0</v>
      </c>
      <c r="F22" s="99">
        <v>8764.0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279540</v>
      </c>
      <c r="D23" s="99">
        <v>181701.0</v>
      </c>
      <c r="E23" s="99">
        <v>55908.0</v>
      </c>
      <c r="F23" s="99">
        <v>41931.0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240726</v>
      </c>
      <c r="D25" s="99">
        <v>105137.0</v>
      </c>
      <c r="E25" s="99">
        <v>83874.0</v>
      </c>
      <c r="F25" s="99">
        <v>51715.0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7088</v>
      </c>
      <c r="D26" s="99">
        <v>4607.0</v>
      </c>
      <c r="E26" s="99">
        <v>1418.0</v>
      </c>
      <c r="F26" s="99">
        <v>1063.0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42421</v>
      </c>
      <c r="D28" s="99">
        <v>27086.0</v>
      </c>
      <c r="E28" s="99">
        <v>9084.0</v>
      </c>
      <c r="F28" s="99">
        <v>6251.0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24859</v>
      </c>
      <c r="D31" s="99">
        <v>10497.0</v>
      </c>
      <c r="E31" s="99">
        <v>8912.0</v>
      </c>
      <c r="F31" s="99">
        <v>5450.0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16685</v>
      </c>
      <c r="D32" s="99">
        <v>2899.0</v>
      </c>
      <c r="E32" s="99">
        <v>12281.0</v>
      </c>
      <c r="F32" s="99">
        <v>1505.0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60" t="s">
        <v>244</v>
      </c>
      <c r="C34" s="98">
        <f t="shared" si="1"/>
        <v>276782</v>
      </c>
      <c r="D34" s="99">
        <v>276782.0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138</v>
      </c>
      <c r="C35" s="98">
        <f t="shared" si="1"/>
        <v>117950</v>
      </c>
      <c r="D35" s="99">
        <v>51067.0</v>
      </c>
      <c r="E35" s="99">
        <v>41349.0</v>
      </c>
      <c r="F35" s="99">
        <v>25534.0</v>
      </c>
      <c r="G35" s="43"/>
      <c r="H35" s="43"/>
      <c r="I35" s="43"/>
      <c r="J35" s="43"/>
      <c r="K35" s="43"/>
      <c r="L35" s="43"/>
      <c r="M35" s="43"/>
      <c r="N35" s="43"/>
      <c r="O35" s="43"/>
      <c r="P35" s="43"/>
      <c r="Q35" s="43"/>
      <c r="R35" s="43"/>
      <c r="S35" s="43"/>
      <c r="T35" s="43"/>
      <c r="U35" s="43"/>
      <c r="V35" s="43"/>
      <c r="W35" s="43"/>
      <c r="X35" s="43"/>
      <c r="Y35" s="43"/>
      <c r="Z35" s="43"/>
    </row>
    <row r="36">
      <c r="A36" s="45" t="s">
        <v>50</v>
      </c>
      <c r="B36" s="60" t="s">
        <v>245</v>
      </c>
      <c r="C36" s="98">
        <f t="shared" si="1"/>
        <v>69203</v>
      </c>
      <c r="D36" s="99">
        <v>0.0</v>
      </c>
      <c r="E36" s="99">
        <v>69203.0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246</v>
      </c>
      <c r="C37" s="98">
        <f t="shared" si="1"/>
        <v>60806</v>
      </c>
      <c r="D37" s="99">
        <v>39524.0</v>
      </c>
      <c r="E37" s="99">
        <v>12161.0</v>
      </c>
      <c r="F37" s="99">
        <v>9121.0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56835</v>
      </c>
      <c r="D38" s="99">
        <v>24806.0</v>
      </c>
      <c r="E38" s="99">
        <v>28593.0</v>
      </c>
      <c r="F38" s="99">
        <v>3436.0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4">
        <f t="shared" ref="C40:F40" si="2">sum(C3:C39)</f>
        <v>63450687</v>
      </c>
      <c r="D40" s="104">
        <f t="shared" si="2"/>
        <v>59322549</v>
      </c>
      <c r="E40" s="104">
        <f t="shared" si="2"/>
        <v>3489938</v>
      </c>
      <c r="F40" s="104">
        <f t="shared" si="2"/>
        <v>638200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COMMUNITY FOUNDATION FOR NE FLORIDA</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143</v>
      </c>
      <c r="B2" s="45">
        <v>1.0</v>
      </c>
      <c r="C2" s="46" t="s">
        <v>144</v>
      </c>
      <c r="D2" s="111"/>
      <c r="E2" s="112">
        <v>0.0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3"/>
      <c r="E3" s="112">
        <v>5.5003036E7</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1"/>
      <c r="E4" s="112">
        <v>302682.0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1"/>
      <c r="E10" s="112">
        <v>66822.0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2">
        <v>1133139.0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2">
        <v>620699.0</v>
      </c>
      <c r="E12" s="109">
        <f>D11-D12</f>
        <v>512440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3"/>
      <c r="E13" s="112">
        <v>3.88156594E8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3"/>
      <c r="E14" s="112">
        <v>9.2916197E7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3"/>
      <c r="E17" s="112">
        <v>1.1432797E7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4"/>
      <c r="E18" s="115">
        <f>sum(E2:E17)</f>
        <v>548390568</v>
      </c>
      <c r="F18" s="43"/>
      <c r="G18" s="43"/>
      <c r="H18" s="43"/>
      <c r="I18" s="43"/>
      <c r="J18" s="43"/>
      <c r="K18" s="43"/>
      <c r="L18" s="43"/>
      <c r="M18" s="43"/>
      <c r="N18" s="43"/>
      <c r="O18" s="43"/>
      <c r="P18" s="43"/>
      <c r="Q18" s="43"/>
      <c r="R18" s="43"/>
      <c r="S18" s="43"/>
      <c r="T18" s="43"/>
      <c r="U18" s="43"/>
      <c r="V18" s="43"/>
      <c r="W18" s="43"/>
      <c r="X18" s="43"/>
      <c r="Y18" s="43"/>
      <c r="Z18" s="43"/>
    </row>
    <row r="19">
      <c r="A19" s="44" t="s">
        <v>163</v>
      </c>
      <c r="B19" s="116">
        <v>17.0</v>
      </c>
      <c r="C19" s="117" t="s">
        <v>164</v>
      </c>
      <c r="D19" s="118"/>
      <c r="E19" s="112">
        <v>686175.0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165</v>
      </c>
      <c r="D20" s="118"/>
      <c r="E20" s="112">
        <v>7955753.0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166</v>
      </c>
      <c r="D21" s="118"/>
      <c r="E21" s="112">
        <v>1006779.0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167</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168</v>
      </c>
      <c r="D23" s="118"/>
      <c r="E23" s="119">
        <v>1.8094996E7</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169</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170</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171</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172</v>
      </c>
      <c r="D27" s="118"/>
      <c r="E27" s="119">
        <v>4505137.0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173</v>
      </c>
      <c r="D28" s="126"/>
      <c r="E28" s="127">
        <f>sum(E19:E27)</f>
        <v>32248840</v>
      </c>
      <c r="F28" s="43"/>
      <c r="G28" s="43"/>
      <c r="H28" s="43"/>
      <c r="I28" s="43"/>
      <c r="J28" s="43"/>
      <c r="K28" s="43"/>
      <c r="L28" s="43"/>
      <c r="M28" s="43"/>
      <c r="N28" s="43"/>
      <c r="O28" s="43"/>
      <c r="P28" s="43"/>
      <c r="Q28" s="43"/>
      <c r="R28" s="43"/>
      <c r="S28" s="43"/>
      <c r="T28" s="43"/>
      <c r="U28" s="43"/>
      <c r="V28" s="43"/>
      <c r="W28" s="43"/>
      <c r="X28" s="43"/>
      <c r="Y28" s="43"/>
      <c r="Z28" s="43"/>
    </row>
    <row r="29">
      <c r="A29" s="65" t="s">
        <v>174</v>
      </c>
      <c r="B29" s="128"/>
      <c r="C29" s="129" t="s">
        <v>175</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176</v>
      </c>
      <c r="D30" s="118"/>
      <c r="E30" s="112">
        <v>5.1194743E8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177</v>
      </c>
      <c r="D31" s="118"/>
      <c r="E31" s="112">
        <v>4194298.0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178</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179</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180</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181</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182</v>
      </c>
      <c r="D36" s="132"/>
      <c r="E36" s="127">
        <f>sum(E30:E35)</f>
        <v>516141728</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183</v>
      </c>
      <c r="D37" s="136"/>
      <c r="E37" s="137">
        <f>E36+E28</f>
        <v>548390568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