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<sst xmlns="http://schemas.openxmlformats.org/spreadsheetml/2006/main" count="895" uniqueCount="263">
  <si>
    <t>MISSOURI BOTANICAL GARDEN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</si>
  <si>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</si>
  <si>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</si>
  <si>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</si>
  <si>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</si>
  <si>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</si>
  <si>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</si>
  <si>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</si>
  <si>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</si>
  <si>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</si>
  <si>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</si>
  <si>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</si>
  <si>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</si>
  <si>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</si>
  <si>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</si>
  <si>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</si>
  <si>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</si>
  <si>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</si>
  <si>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</si>
  <si>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</si>
  <si>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</si>
  <si>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</si>
  <si>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</si>
  <si>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</si>
  <si>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</si>
  <si>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</si>
  <si>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</si>
  <si>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</si>
  <si>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</si>
  <si>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</si>
  <si>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</si>
  <si>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</si>
  <si>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</si>
  <si>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</si>
  <si>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</si>
  <si>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</si>
  <si>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</si>
  <si>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</si>
  <si>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</si>
  <si>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</si>
  <si>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</si>
  <si>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</si>
  <si>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</si>
  <si>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</si>
  <si>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</si>
  <si>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</si>
  <si>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</si>
  <si>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</si>
  <si>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</si>
  <si>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</si>
  <si>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</si>
  <si>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</si>
  <si>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</si>
  <si>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</si>
  <si>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</si>
  <si>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</si>
  <si>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</si>
  <si>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</si>
  <si>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</si>
  <si>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</si>
  <si>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</si>
  <si>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</si>
  <si>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</si>
  <si>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</si>
  <si>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t>
  </si>
  <si>
    <t>OVERHEAD RECOVERY</t>
  </si>
  <si>
    <t>EDUCATION</t>
  </si>
  <si>
    <t xml:space="preserve"> RENTAL INCOME-GARDEN</t>
  </si>
  <si>
    <t xml:space="preserve"> HORTICULTURE</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</si>
  <si>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</si>
  <si>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</si>
  <si>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</si>
  <si>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</si>
  <si>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</si>
  <si>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</si>
  <si>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</si>
  <si>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</si>
  <si>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</si>
  <si>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</si>
  <si>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</si>
  <si>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</si>
  <si>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</si>
  <si>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</si>
  <si>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</si>
  <si>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</si>
  <si>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</si>
  <si>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</si>
  <si>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</si>
  <si>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</si>
  <si>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</si>
  <si>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</si>
  <si>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</si>
  <si>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</si>
  <si>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</si>
  <si>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</si>
  <si>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</si>
  <si>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</si>
  <si>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</si>
  <si>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</si>
  <si>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</si>
  <si>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</si>
  <si>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</si>
  <si>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</si>
  <si>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RESTAURANT/CATERING</t>
  </si>
  <si>
    <t>PROPERTY MANAGMENT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</si>
  <si>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</si>
  <si>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</si>
  <si>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</si>
  <si>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</si>
  <si>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</si>
  <si>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</si>
  <si>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</si>
  <si>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</si>
  <si>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</si>
  <si>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</si>
  <si>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</si>
  <si>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</si>
  <si>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</si>
  <si>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</si>
  <si>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</si>
  <si>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</si>
  <si>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</si>
  <si>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</si>
  <si>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</si>
  <si>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</si>
  <si>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</si>
  <si>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</si>
  <si>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</si>
  <si>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</si>
  <si>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</si>
  <si>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</si>
  <si>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</si>
  <si>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</si>
  <si>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</si>
  <si>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</si>
  <si>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</si>
  <si>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</si>
  <si>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</si>
  <si>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</si>
  <si>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</si>
  <si>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</si>
  <si>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</si>
  <si>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HERBARIUM SPECIMEN COLL</t>
  </si>
  <si>
    <t>BUILDING &amp; GROUNDS MAIN</t>
  </si>
  <si>
    <t xml:space="preserve"> EXHIBITS</t>
  </si>
  <si>
    <t>ENTERTAINMENT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</si>
  <si>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</si>
  <si>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</si>
  <si>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</si>
  <si>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</si>
  <si>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</si>
  <si>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</si>
  <si>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</si>
  <si>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</si>
  <si>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</si>
  <si>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</si>
  <si>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</si>
  <si>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</si>
  <si>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</si>
  <si>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</si>
  <si>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</si>
  <si>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</si>
  <si>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</si>
  <si>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</si>
  <si>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</si>
  <si>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</si>
  <si>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</si>
  <si>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</si>
  <si>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</si>
  <si>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</si>
  <si>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</si>
  <si>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</si>
  <si>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</si>
  <si>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</si>
  <si>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</si>
  <si>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</si>
  <si>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</si>
  <si>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</si>
  <si>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</si>
  <si>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</si>
  <si>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</si>
  <si>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</si>
  <si>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</si>
  <si>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</si>
  <si>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</si>
  <si>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</si>
  <si>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</si>
  <si>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</si>
  <si>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</si>
  <si>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</si>
  <si>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</si>
  <si>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</si>
  <si>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</si>
  <si>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</si>
  <si>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</si>
  <si>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</si>
  <si>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</si>
  <si>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</si>
  <si>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</si>
  <si>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</si>
  <si>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</si>
  <si>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</si>
  <si>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</si>
  <si>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</si>
  <si>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</si>
  <si>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</si>
  <si>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</si>
  <si>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</si>
  <si>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</si>
  <si>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</si>
  <si>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</si>
  <si>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</si>
  <si>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</si>
  <si>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</si>
  <si>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</si>
  <si>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</si>
  <si>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</si>
  <si>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</si>
  <si>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</si>
  <si>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</si>
  <si>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</si>
  <si>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</si>
  <si>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</si>
  <si>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</si>
  <si>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</si>
  <si>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</si>
  <si>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</si>
  <si>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</si>
  <si>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</si>
  <si>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</si>
  <si>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</si>
  <si>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</si>
  <si>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</si>
  <si>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</si>
  <si>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</si>
  <si>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</si>
  <si>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</si>
  <si>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</si>
  <si>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</si>
  <si>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</si>
  <si>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</si>
  <si>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</si>
  <si>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</si>
  <si>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</si>
  <si>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</si>
  <si>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</si>
  <si>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PUBLIC PROGRAMS</t>
  </si>
  <si>
    <t>RENTAL INCOME-GARDEN</t>
  </si>
  <si>
    <r>
      <rPr>
        <rFont val="Roboto"/>
        <color rgb="FF000000"/>
        <sz val="10.0"/>
      </rPr>
      <t xml:space="preserve">Gross amount from sales of </t>
    </r>
    <r>
      <rPr>
        <rFont val="Roboto"/>
        <color rgb="FF000000"/>
        <sz val="10.0"/>
      </rPr>
      <t>assets other than inventory</t>
    </r>
  </si>
  <si>
    <t>EXHIBITS</t>
  </si>
  <si>
    <t xml:space="preserve"> BUILDING &amp; GROUNDS MAIN</t>
  </si>
  <si>
    <r>
      <rPr>
        <rFont val="Roboto"/>
        <b/>
        <color rgb="FF000000"/>
        <sz val="10.0"/>
      </rPr>
      <t xml:space="preserve">Program Expenses </t>
    </r>
    <r>
      <rPr>
        <rFont val="Roboto"/>
        <b/>
        <i/>
        <color rgb="FF000000"/>
        <sz val="10.0"/>
      </rPr>
      <t xml:space="preserve">(Program Efficiency Ratio) </t>
    </r>
  </si>
  <si>
    <t>HORTICULTURE</t>
  </si>
  <si>
    <t xml:space="preserve"> EDUCATION</t>
  </si>
  <si>
    <r>
      <rPr>
        <rFont val="Roboto"/>
        <color rgb="FF000000"/>
        <sz val="10.0"/>
      </rPr>
      <t xml:space="preserve">Gross amount from sales of </t>
    </r>
    <r>
      <rPr>
        <rFont val="Roboto"/>
        <color rgb="FF000000"/>
        <sz val="10.0"/>
      </rPr>
      <t>assets other than inventory</t>
    </r>
  </si>
  <si>
    <t>INDIRECT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</si>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</sst>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MISSOURI BOTANICAL GARDEN</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190</v>
      </c>
      <c r="C3" s="144" t="s">
        <v>191</v>
      </c>
      <c r="D3" s="145">
        <f>'Expenses 2022'!C40</f>
        <v>57170058</v>
      </c>
      <c r="E3" s="146"/>
      <c r="F3" s="43"/>
      <c r="G3" s="43"/>
      <c r="H3" s="43"/>
      <c r="I3" s="43"/>
      <c r="J3" s="43"/>
      <c r="K3" s="43"/>
      <c r="L3" s="43"/>
      <c r="M3" s="43"/>
      <c r="N3" s="43"/>
      <c r="O3" s="43"/>
      <c r="P3" s="43"/>
      <c r="Q3" s="43"/>
      <c r="R3" s="43"/>
      <c r="S3" s="43"/>
      <c r="T3" s="43"/>
      <c r="U3" s="43"/>
      <c r="V3" s="43"/>
      <c r="W3" s="43"/>
      <c r="X3" s="43"/>
      <c r="Y3" s="43"/>
    </row>
    <row r="4">
      <c r="A4" s="138"/>
      <c r="B4" s="49"/>
      <c r="C4" s="144" t="s">
        <v>192</v>
      </c>
      <c r="D4" s="145">
        <f>'Expenses 2022'!C31</f>
        <v>5887585</v>
      </c>
      <c r="E4" s="146"/>
      <c r="F4" s="43"/>
      <c r="G4" s="43"/>
      <c r="H4" s="43"/>
      <c r="I4" s="43"/>
      <c r="J4" s="43"/>
      <c r="K4" s="43"/>
      <c r="L4" s="43"/>
      <c r="M4" s="43"/>
      <c r="N4" s="43"/>
      <c r="O4" s="43"/>
      <c r="P4" s="43"/>
      <c r="Q4" s="43"/>
      <c r="R4" s="43"/>
      <c r="S4" s="43"/>
      <c r="T4" s="43"/>
      <c r="U4" s="43"/>
      <c r="V4" s="43"/>
      <c r="W4" s="43"/>
      <c r="X4" s="43"/>
      <c r="Y4" s="43"/>
    </row>
    <row r="5">
      <c r="A5" s="138"/>
      <c r="B5" s="49"/>
      <c r="C5" s="144" t="s">
        <v>193</v>
      </c>
      <c r="D5" s="145">
        <f>D3-D4</f>
        <v>51282473</v>
      </c>
      <c r="E5" s="146"/>
      <c r="F5" s="43"/>
      <c r="G5" s="43"/>
      <c r="H5" s="43"/>
      <c r="I5" s="43"/>
      <c r="J5" s="43"/>
      <c r="K5" s="43"/>
      <c r="L5" s="43"/>
      <c r="M5" s="43"/>
      <c r="N5" s="43"/>
      <c r="O5" s="43"/>
      <c r="P5" s="43"/>
      <c r="Q5" s="43"/>
      <c r="R5" s="43"/>
      <c r="S5" s="43"/>
      <c r="T5" s="43"/>
      <c r="U5" s="43"/>
      <c r="V5" s="43"/>
      <c r="W5" s="43"/>
      <c r="X5" s="43"/>
      <c r="Y5" s="43"/>
    </row>
    <row r="6">
      <c r="A6" s="138"/>
      <c r="B6" s="49"/>
      <c r="C6" s="144" t="s">
        <v>194</v>
      </c>
      <c r="D6" s="145">
        <f>D5/12</f>
        <v>4273539.417</v>
      </c>
      <c r="E6" s="146"/>
      <c r="F6" s="43"/>
      <c r="G6" s="43"/>
      <c r="H6" s="43"/>
      <c r="I6" s="43"/>
      <c r="J6" s="43"/>
      <c r="K6" s="43"/>
      <c r="L6" s="43"/>
      <c r="M6" s="43"/>
      <c r="N6" s="43"/>
      <c r="O6" s="43"/>
      <c r="P6" s="43"/>
      <c r="Q6" s="43"/>
      <c r="R6" s="43"/>
      <c r="S6" s="43"/>
      <c r="T6" s="43"/>
      <c r="U6" s="43"/>
      <c r="V6" s="43"/>
      <c r="W6" s="43"/>
      <c r="X6" s="43"/>
      <c r="Y6" s="43"/>
    </row>
    <row r="7">
      <c r="A7" s="138"/>
      <c r="B7" s="49"/>
      <c r="C7" s="144" t="s">
        <v>195</v>
      </c>
      <c r="D7" s="74">
        <f>'Balance Sheet 2022'!E2+'Balance Sheet 2022'!E3</f>
        <v>4392861</v>
      </c>
      <c r="E7" s="146"/>
      <c r="F7" s="43"/>
      <c r="G7" s="43"/>
      <c r="H7" s="43"/>
      <c r="I7" s="43"/>
      <c r="J7" s="43"/>
      <c r="K7" s="43"/>
      <c r="L7" s="43"/>
      <c r="M7" s="43"/>
      <c r="N7" s="43"/>
      <c r="O7" s="43"/>
      <c r="P7" s="43"/>
      <c r="Q7" s="43"/>
      <c r="R7" s="43"/>
      <c r="S7" s="43"/>
      <c r="T7" s="43"/>
      <c r="U7" s="43"/>
      <c r="V7" s="43"/>
      <c r="W7" s="43"/>
      <c r="X7" s="43"/>
      <c r="Y7" s="43"/>
    </row>
    <row r="8">
      <c r="A8" s="138"/>
      <c r="B8" s="49"/>
      <c r="C8" s="147" t="s">
        <v>189</v>
      </c>
      <c r="D8" s="148">
        <f>D7/D6</f>
        <v>1.027921021</v>
      </c>
      <c r="E8" s="149" t="s">
        <v>196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198</v>
      </c>
      <c r="C11" s="144" t="s">
        <v>199</v>
      </c>
      <c r="D11" s="74">
        <f>'Balance Sheet 2022'!E30</f>
        <v>175406621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200</v>
      </c>
      <c r="D12" s="74">
        <f>'Expenses 2022'!C40</f>
        <v>57170058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201</v>
      </c>
      <c r="D13" s="145">
        <f>D12/12</f>
        <v>4764171.5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197</v>
      </c>
      <c r="D14" s="148">
        <f>D11/D13</f>
        <v>36.81786455</v>
      </c>
      <c r="E14" s="149" t="s">
        <v>196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203</v>
      </c>
      <c r="C17" s="144" t="s">
        <v>204</v>
      </c>
      <c r="D17" s="74">
        <f>sum('Balance Sheet 2022'!E13:E15)</f>
        <v>185187280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200</v>
      </c>
      <c r="D18" s="74">
        <f>'Expenses 2022'!C40</f>
        <v>57170058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201</v>
      </c>
      <c r="D19" s="145">
        <f>D18/12</f>
        <v>4764171.5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205</v>
      </c>
      <c r="D20" s="148">
        <f>D17/D19</f>
        <v>38.8708257</v>
      </c>
      <c r="E20" s="149" t="s">
        <v>196</v>
      </c>
      <c r="F20" s="43"/>
      <c r="G20" s="43"/>
      <c r="H20" s="43"/>
      <c r="I20" s="43"/>
      <c r="J20" s="43"/>
      <c r="K20" s="43"/>
      <c r="L20" s="43"/>
      <c r="M20" s="43"/>
      <c r="N20" s="43"/>
      <c r="O20" s="43"/>
      <c r="P20" s="43"/>
      <c r="Q20" s="43"/>
      <c r="R20" s="43"/>
      <c r="S20" s="43"/>
      <c r="T20" s="43"/>
      <c r="U20" s="43"/>
      <c r="V20" s="43"/>
      <c r="W20" s="43"/>
      <c r="X20" s="43"/>
      <c r="Y20" s="43"/>
    </row>
    <row r="21">
      <c r="A21" s="138"/>
      <c r="B21" s="49"/>
      <c r="C21" s="153" t="s">
        <v>206</v>
      </c>
      <c r="D21" s="154">
        <f>D20+D8</f>
        <v>39.89874672</v>
      </c>
      <c r="E21" s="155" t="s">
        <v>196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208</v>
      </c>
      <c r="C24" s="159"/>
      <c r="D24" s="160">
        <f>max('Revenues 2022'!E2:E7,'Revenues 2022'!F10:F15)</f>
        <v>32153162</v>
      </c>
      <c r="E24" s="161" t="s">
        <v>209</v>
      </c>
      <c r="F24" s="43"/>
      <c r="G24" s="43"/>
      <c r="H24" s="43"/>
      <c r="I24" s="43"/>
      <c r="J24" s="43"/>
      <c r="K24" s="43"/>
      <c r="L24" s="43"/>
      <c r="M24" s="43"/>
      <c r="N24" s="43"/>
      <c r="O24" s="43"/>
      <c r="P24" s="43"/>
      <c r="Q24" s="43"/>
      <c r="R24" s="43"/>
      <c r="S24" s="43"/>
      <c r="T24" s="43"/>
      <c r="U24" s="43"/>
      <c r="V24" s="43"/>
      <c r="W24" s="43"/>
      <c r="X24" s="43"/>
      <c r="Y24" s="43"/>
    </row>
    <row r="25">
      <c r="A25" s="138"/>
      <c r="B25" s="49"/>
      <c r="C25" s="144" t="s">
        <v>210</v>
      </c>
      <c r="D25" s="145">
        <f>'Revenues 2022'!F44</f>
        <v>55513182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207</v>
      </c>
      <c r="D26" s="162">
        <f>D24/D25</f>
        <v>0.5791986847</v>
      </c>
      <c r="E26" s="149" t="s">
        <v>211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213</v>
      </c>
      <c r="C29" s="144" t="s">
        <v>214</v>
      </c>
      <c r="D29" s="74">
        <f>SUM('Expenses 2022'!C7:C9)</f>
        <v>24000081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215</v>
      </c>
      <c r="D30" s="74">
        <f>SUM('Expenses 2022'!C10:C12)</f>
        <v>5647262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216</v>
      </c>
      <c r="D31" s="74">
        <f>sum(D29:D30)</f>
        <v>29647343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191</v>
      </c>
      <c r="D32" s="74">
        <f>'Expenses 2022'!C40</f>
        <v>57170058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217</v>
      </c>
      <c r="D33" s="162">
        <f>D31/D32</f>
        <v>0.5185816499</v>
      </c>
      <c r="E33" s="149" t="s">
        <v>218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220</v>
      </c>
      <c r="C36" s="144" t="s">
        <v>221</v>
      </c>
      <c r="D36" s="74">
        <f>SUM('Expenses 2022'!C10:C11)</f>
        <v>3888177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214</v>
      </c>
      <c r="D37" s="74">
        <f>SUM('Expenses 2022'!C7:C9)</f>
        <v>24000081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219</v>
      </c>
      <c r="D38" s="162">
        <f>D36/D37</f>
        <v>0.1620068282</v>
      </c>
      <c r="E38" s="149" t="s">
        <v>222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224</v>
      </c>
      <c r="C41" s="147" t="s">
        <v>251</v>
      </c>
      <c r="D41" s="74">
        <f>'Expenses 2022'!D40</f>
        <v>44692400</v>
      </c>
      <c r="E41" s="164">
        <f t="shared" ref="E41:E44" si="1">D41/$D$44</f>
        <v>0.7817448777</v>
      </c>
      <c r="F41" s="43"/>
      <c r="G41" s="43"/>
      <c r="H41" s="43"/>
      <c r="I41" s="43"/>
      <c r="J41" s="43"/>
      <c r="K41" s="43"/>
      <c r="L41" s="43"/>
      <c r="M41" s="43"/>
      <c r="N41" s="43"/>
      <c r="O41" s="43"/>
      <c r="P41" s="43"/>
      <c r="Q41" s="43"/>
      <c r="R41" s="43"/>
      <c r="S41" s="43"/>
      <c r="T41" s="43"/>
      <c r="U41" s="43"/>
      <c r="V41" s="43"/>
      <c r="W41" s="43"/>
      <c r="X41" s="43"/>
      <c r="Y41" s="43"/>
    </row>
    <row r="42">
      <c r="A42" s="138"/>
      <c r="B42" s="49"/>
      <c r="C42" s="147" t="s">
        <v>226</v>
      </c>
      <c r="D42" s="145">
        <f>'Expenses 2022'!E40</f>
        <v>10202124</v>
      </c>
      <c r="E42" s="164">
        <f t="shared" si="1"/>
        <v>0.1784522241</v>
      </c>
      <c r="F42" s="43"/>
      <c r="G42" s="43"/>
      <c r="H42" s="43"/>
      <c r="I42" s="43"/>
      <c r="J42" s="43"/>
      <c r="K42" s="43"/>
      <c r="L42" s="43"/>
      <c r="M42" s="43"/>
      <c r="N42" s="43"/>
      <c r="O42" s="43"/>
      <c r="P42" s="43"/>
      <c r="Q42" s="43"/>
      <c r="R42" s="43"/>
      <c r="S42" s="43"/>
      <c r="T42" s="43"/>
      <c r="U42" s="43"/>
      <c r="V42" s="43"/>
      <c r="W42" s="43"/>
      <c r="X42" s="43"/>
      <c r="Y42" s="43"/>
    </row>
    <row r="43">
      <c r="A43" s="138"/>
      <c r="B43" s="49"/>
      <c r="C43" s="147" t="s">
        <v>227</v>
      </c>
      <c r="D43" s="145">
        <f>'Expenses 2022'!F40</f>
        <v>2275534</v>
      </c>
      <c r="E43" s="164">
        <f t="shared" si="1"/>
        <v>0.03980289822</v>
      </c>
      <c r="F43" s="43"/>
      <c r="G43" s="43"/>
      <c r="H43" s="43"/>
      <c r="I43" s="43"/>
      <c r="J43" s="43"/>
      <c r="K43" s="43"/>
      <c r="L43" s="43"/>
      <c r="M43" s="43"/>
      <c r="N43" s="43"/>
      <c r="O43" s="43"/>
      <c r="P43" s="43"/>
      <c r="Q43" s="43"/>
      <c r="R43" s="43"/>
      <c r="S43" s="43"/>
      <c r="T43" s="43"/>
      <c r="U43" s="43"/>
      <c r="V43" s="43"/>
      <c r="W43" s="43"/>
      <c r="X43" s="43"/>
      <c r="Y43" s="43"/>
    </row>
    <row r="44">
      <c r="A44" s="138"/>
      <c r="B44" s="49"/>
      <c r="C44" s="144" t="s">
        <v>191</v>
      </c>
      <c r="D44" s="145">
        <f>sum(D41:D43)</f>
        <v>57170058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229</v>
      </c>
      <c r="C47" s="144" t="s">
        <v>230</v>
      </c>
      <c r="D47" s="145">
        <f>'Revenues 2022'!F9</f>
        <v>39564950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231</v>
      </c>
      <c r="D48" s="145">
        <f>'Expenses 2022'!F40</f>
        <v>2275534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232</v>
      </c>
      <c r="D49" s="165">
        <f>D47/D48</f>
        <v>17.38710562</v>
      </c>
      <c r="E49" s="149" t="s">
        <v>233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235</v>
      </c>
      <c r="C52" s="144" t="s">
        <v>236</v>
      </c>
      <c r="D52" s="145">
        <f>sum('Balance Sheet 2022'!E2:E10)</f>
        <v>21752785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237</v>
      </c>
      <c r="D53" s="145">
        <f>sum('Balance Sheet 2022'!E19:E22)</f>
        <v>5176438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238</v>
      </c>
      <c r="D54" s="167">
        <f>D52/D53</f>
        <v>4.202269012</v>
      </c>
      <c r="E54" s="149" t="s">
        <v>239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240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241</v>
      </c>
      <c r="C57" s="144" t="s">
        <v>242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243</v>
      </c>
      <c r="D58" s="145">
        <f>'Balance Sheet 2022'!E18</f>
        <v>351495504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244</v>
      </c>
      <c r="D59" s="168">
        <f>D57/D58</f>
        <v>0</v>
      </c>
      <c r="E59" s="149" t="s">
        <v>245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MISSOURI BOTANICAL GARDEN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5780008.0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137174.0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2942183.0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5.0640521E7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1710309.0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59499886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7057483.0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550860.0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252</v>
      </c>
      <c r="D12" s="61"/>
      <c r="E12" s="61"/>
      <c r="F12" s="62">
        <v>457592.0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379622.0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253</v>
      </c>
      <c r="D14" s="61"/>
      <c r="E14" s="61"/>
      <c r="F14" s="62">
        <v>349777.0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414005.0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9209339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2366505.0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114905.0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114905</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114905</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254</v>
      </c>
      <c r="D26" s="50">
        <v>1.8382108E7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1.6505659E7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1876449</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1876449</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112990.0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95263.0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17727</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2488041.0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1064754.0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1423287</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103</v>
      </c>
      <c r="D39" s="73"/>
      <c r="E39" s="48">
        <v>507022.0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3"/>
      <c r="E40" s="48">
        <v>154774.0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104</v>
      </c>
      <c r="D41" s="73"/>
      <c r="E41" s="48">
        <v>106122.0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105</v>
      </c>
      <c r="D42" s="73"/>
      <c r="E42" s="48">
        <v>15257.0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783175</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75291273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MISSOURI BOTANICAL GARDEN</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159726</v>
      </c>
      <c r="D4" s="98">
        <v>159726.0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704831</v>
      </c>
      <c r="D5" s="98">
        <v>704831.0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3144490</v>
      </c>
      <c r="D7" s="98">
        <v>2456179.0</v>
      </c>
      <c r="E7" s="98">
        <v>568701.0</v>
      </c>
      <c r="F7" s="98">
        <v>119610.0</v>
      </c>
      <c r="G7" s="43"/>
      <c r="H7" s="43"/>
      <c r="I7" s="43"/>
      <c r="J7" s="43"/>
      <c r="K7" s="43"/>
      <c r="L7" s="43"/>
      <c r="M7" s="43"/>
      <c r="N7" s="43"/>
      <c r="O7" s="43"/>
      <c r="P7" s="43"/>
      <c r="Q7" s="43"/>
      <c r="R7" s="43"/>
      <c r="S7" s="43"/>
      <c r="T7" s="43"/>
      <c r="U7" s="43"/>
      <c r="V7" s="43"/>
      <c r="W7" s="43"/>
      <c r="X7" s="43"/>
      <c r="Y7" s="43"/>
      <c r="Z7" s="43"/>
    </row>
    <row r="8">
      <c r="A8" s="79">
        <v>6.0</v>
      </c>
      <c r="B8" s="95" t="s">
        <v>116</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117</v>
      </c>
      <c r="C9" s="97">
        <f t="shared" si="1"/>
        <v>23263826</v>
      </c>
      <c r="D9" s="98">
        <v>1.8338622E7</v>
      </c>
      <c r="E9" s="98">
        <v>3816847.0</v>
      </c>
      <c r="F9" s="98">
        <v>1108357.0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1266416</v>
      </c>
      <c r="D10" s="98">
        <v>1006463.0</v>
      </c>
      <c r="E10" s="98">
        <v>213445.0</v>
      </c>
      <c r="F10" s="98">
        <v>46508.0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3060036</v>
      </c>
      <c r="D11" s="98">
        <v>2712826.0</v>
      </c>
      <c r="E11" s="98">
        <v>264177.0</v>
      </c>
      <c r="F11" s="98">
        <v>83033.0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1949766</v>
      </c>
      <c r="D12" s="98">
        <v>1572763.0</v>
      </c>
      <c r="E12" s="98">
        <v>301947.0</v>
      </c>
      <c r="F12" s="98">
        <v>75056.0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166271</v>
      </c>
      <c r="D15" s="98">
        <v>0.0</v>
      </c>
      <c r="E15" s="98">
        <v>164596.0</v>
      </c>
      <c r="F15" s="98">
        <v>1675.0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124174</v>
      </c>
      <c r="D16" s="98">
        <v>0.0</v>
      </c>
      <c r="E16" s="98">
        <v>124174.0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135362</v>
      </c>
      <c r="D19" s="98">
        <v>0.0</v>
      </c>
      <c r="E19" s="98">
        <v>135362.0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6883408</v>
      </c>
      <c r="D20" s="98">
        <v>4695462.0</v>
      </c>
      <c r="E20" s="98">
        <v>2071159.0</v>
      </c>
      <c r="F20" s="98">
        <v>116787.0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513815</v>
      </c>
      <c r="D21" s="98">
        <v>4301.0</v>
      </c>
      <c r="E21" s="98">
        <v>478066.0</v>
      </c>
      <c r="F21" s="98">
        <v>31448.0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3975381</v>
      </c>
      <c r="D22" s="98">
        <v>2808468.0</v>
      </c>
      <c r="E22" s="98">
        <v>995952.0</v>
      </c>
      <c r="F22" s="98">
        <v>170961.0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1718318</v>
      </c>
      <c r="D25" s="98">
        <v>1535265.0</v>
      </c>
      <c r="E25" s="98">
        <v>157026.0</v>
      </c>
      <c r="F25" s="98">
        <v>26027.0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913977</v>
      </c>
      <c r="D26" s="98">
        <v>817074.0</v>
      </c>
      <c r="E26" s="98">
        <v>41759.0</v>
      </c>
      <c r="F26" s="98">
        <v>55144.0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67628</v>
      </c>
      <c r="D28" s="98">
        <v>16348.0</v>
      </c>
      <c r="E28" s="98">
        <v>51280.0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0</v>
      </c>
      <c r="D29" s="98">
        <v>0.0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6063294</v>
      </c>
      <c r="D31" s="98">
        <v>5627905.0</v>
      </c>
      <c r="E31" s="98">
        <v>374456.0</v>
      </c>
      <c r="F31" s="98">
        <v>60933.0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1040995</v>
      </c>
      <c r="D32" s="98">
        <v>641477.0</v>
      </c>
      <c r="E32" s="98">
        <v>382631.0</v>
      </c>
      <c r="F32" s="98">
        <v>16887.0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60" t="s">
        <v>143</v>
      </c>
      <c r="C34" s="97">
        <f t="shared" si="1"/>
        <v>942391</v>
      </c>
      <c r="D34" s="98">
        <v>853279.0</v>
      </c>
      <c r="E34" s="98">
        <v>39130.0</v>
      </c>
      <c r="F34" s="98">
        <v>49982.0</v>
      </c>
      <c r="G34" s="43"/>
      <c r="H34" s="43"/>
      <c r="I34" s="43"/>
      <c r="J34" s="43"/>
      <c r="K34" s="43"/>
      <c r="L34" s="43"/>
      <c r="M34" s="43"/>
      <c r="N34" s="43"/>
      <c r="O34" s="43"/>
      <c r="P34" s="43"/>
      <c r="Q34" s="43"/>
      <c r="R34" s="43"/>
      <c r="S34" s="43"/>
      <c r="T34" s="43"/>
      <c r="U34" s="43"/>
      <c r="V34" s="43"/>
      <c r="W34" s="43"/>
      <c r="X34" s="43"/>
      <c r="Y34" s="43"/>
      <c r="Z34" s="43"/>
    </row>
    <row r="35">
      <c r="A35" s="45" t="s">
        <v>48</v>
      </c>
      <c r="B35" s="60" t="s">
        <v>102</v>
      </c>
      <c r="C35" s="97">
        <f t="shared" si="1"/>
        <v>934446</v>
      </c>
      <c r="D35" s="98">
        <v>247219.0</v>
      </c>
      <c r="E35" s="98">
        <v>679963.0</v>
      </c>
      <c r="F35" s="98">
        <v>7264.0</v>
      </c>
      <c r="G35" s="43"/>
      <c r="H35" s="43"/>
      <c r="I35" s="43"/>
      <c r="J35" s="43"/>
      <c r="K35" s="43"/>
      <c r="L35" s="43"/>
      <c r="M35" s="43"/>
      <c r="N35" s="43"/>
      <c r="O35" s="43"/>
      <c r="P35" s="43"/>
      <c r="Q35" s="43"/>
      <c r="R35" s="43"/>
      <c r="S35" s="43"/>
      <c r="T35" s="43"/>
      <c r="U35" s="43"/>
      <c r="V35" s="43"/>
      <c r="W35" s="43"/>
      <c r="X35" s="43"/>
      <c r="Y35" s="43"/>
      <c r="Z35" s="43"/>
    </row>
    <row r="36">
      <c r="A36" s="45" t="s">
        <v>50</v>
      </c>
      <c r="B36" s="60" t="s">
        <v>249</v>
      </c>
      <c r="C36" s="97">
        <f t="shared" si="1"/>
        <v>647841</v>
      </c>
      <c r="D36" s="98">
        <v>645638.0</v>
      </c>
      <c r="E36" s="98">
        <v>53.0</v>
      </c>
      <c r="F36" s="98">
        <v>2150.0</v>
      </c>
      <c r="G36" s="43"/>
      <c r="H36" s="43"/>
      <c r="I36" s="43"/>
      <c r="J36" s="43"/>
      <c r="K36" s="43"/>
      <c r="L36" s="43"/>
      <c r="M36" s="43"/>
      <c r="N36" s="43"/>
      <c r="O36" s="43"/>
      <c r="P36" s="43"/>
      <c r="Q36" s="43"/>
      <c r="R36" s="43"/>
      <c r="S36" s="43"/>
      <c r="T36" s="43"/>
      <c r="U36" s="43"/>
      <c r="V36" s="43"/>
      <c r="W36" s="43"/>
      <c r="X36" s="43"/>
      <c r="Y36" s="43"/>
      <c r="Z36" s="43"/>
    </row>
    <row r="37">
      <c r="A37" s="45" t="s">
        <v>52</v>
      </c>
      <c r="B37" s="60" t="s">
        <v>255</v>
      </c>
      <c r="C37" s="97">
        <f t="shared" si="1"/>
        <v>540150</v>
      </c>
      <c r="D37" s="98">
        <v>540150.0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1234857</v>
      </c>
      <c r="D38" s="98">
        <v>799815.0</v>
      </c>
      <c r="E38" s="98">
        <v>122000.0</v>
      </c>
      <c r="F38" s="98">
        <v>313042.0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3">
        <f t="shared" ref="C40:F40" si="2">sum(C3:C39)</f>
        <v>59451399</v>
      </c>
      <c r="D40" s="103">
        <f t="shared" si="2"/>
        <v>46183811</v>
      </c>
      <c r="E40" s="103">
        <f t="shared" si="2"/>
        <v>10982724</v>
      </c>
      <c r="F40" s="103">
        <f t="shared" si="2"/>
        <v>2284864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MISSOURI BOTANICAL GARDEN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148</v>
      </c>
      <c r="B2" s="45">
        <v>1.0</v>
      </c>
      <c r="C2" s="46" t="s">
        <v>149</v>
      </c>
      <c r="D2" s="110"/>
      <c r="E2" s="111">
        <v>7987296.0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2"/>
      <c r="E3" s="111">
        <v>5143836.0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10"/>
      <c r="E4" s="111">
        <v>1.7061848E7</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2"/>
      <c r="E5" s="111">
        <v>5248234.0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2"/>
      <c r="E9" s="111">
        <v>545262.0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10"/>
      <c r="E10" s="111">
        <v>1767319.0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1">
        <v>2.47515963E8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1">
        <v>1.04138838E8</v>
      </c>
      <c r="E12" s="108">
        <f>D11-D12</f>
        <v>143377125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2"/>
      <c r="E13" s="111">
        <v>2.00422129E8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2"/>
      <c r="E14" s="111">
        <v>1.6420938E7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2"/>
      <c r="E17" s="111">
        <v>433090.0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3"/>
      <c r="E18" s="114">
        <f>sum(E2:E17)</f>
        <v>398407077</v>
      </c>
      <c r="F18" s="43"/>
      <c r="G18" s="43"/>
      <c r="H18" s="43"/>
      <c r="I18" s="43"/>
      <c r="J18" s="43"/>
      <c r="K18" s="43"/>
      <c r="L18" s="43"/>
      <c r="M18" s="43"/>
      <c r="N18" s="43"/>
      <c r="O18" s="43"/>
      <c r="P18" s="43"/>
      <c r="Q18" s="43"/>
      <c r="R18" s="43"/>
      <c r="S18" s="43"/>
      <c r="T18" s="43"/>
      <c r="U18" s="43"/>
      <c r="V18" s="43"/>
      <c r="W18" s="43"/>
      <c r="X18" s="43"/>
      <c r="Y18" s="43"/>
      <c r="Z18" s="43"/>
    </row>
    <row r="19">
      <c r="A19" s="44" t="s">
        <v>168</v>
      </c>
      <c r="B19" s="115">
        <v>17.0</v>
      </c>
      <c r="C19" s="116" t="s">
        <v>169</v>
      </c>
      <c r="D19" s="117"/>
      <c r="E19" s="111">
        <v>5058676.0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170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171</v>
      </c>
      <c r="D21" s="117"/>
      <c r="E21" s="111">
        <v>18510.0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177</v>
      </c>
      <c r="D27" s="117"/>
      <c r="E27" s="118">
        <v>1826228.0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178</v>
      </c>
      <c r="D28" s="125"/>
      <c r="E28" s="126">
        <f>sum(E19:E27)</f>
        <v>6903414</v>
      </c>
      <c r="F28" s="43"/>
      <c r="G28" s="43"/>
      <c r="H28" s="43"/>
      <c r="I28" s="43"/>
      <c r="J28" s="43"/>
      <c r="K28" s="43"/>
      <c r="L28" s="43"/>
      <c r="M28" s="43"/>
      <c r="N28" s="43"/>
      <c r="O28" s="43"/>
      <c r="P28" s="43"/>
      <c r="Q28" s="43"/>
      <c r="R28" s="43"/>
      <c r="S28" s="43"/>
      <c r="T28" s="43"/>
      <c r="U28" s="43"/>
      <c r="V28" s="43"/>
      <c r="W28" s="43"/>
      <c r="X28" s="43"/>
      <c r="Y28" s="43"/>
      <c r="Z28" s="43"/>
    </row>
    <row r="29">
      <c r="A29" s="64" t="s">
        <v>179</v>
      </c>
      <c r="B29" s="127"/>
      <c r="C29" s="128" t="s">
        <v>180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181</v>
      </c>
      <c r="D30" s="117"/>
      <c r="E30" s="111">
        <v>1.79603264E8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182</v>
      </c>
      <c r="D31" s="117"/>
      <c r="E31" s="111">
        <v>2.11900399E8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187</v>
      </c>
      <c r="D36" s="131"/>
      <c r="E36" s="126">
        <f>sum(E30:E35)</f>
        <v>391503663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188</v>
      </c>
      <c r="D37" s="135"/>
      <c r="E37" s="136">
        <f>E36+E28</f>
        <v>398407077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MISSOURI BOTANICAL GARDEN</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190</v>
      </c>
      <c r="C3" s="144" t="s">
        <v>191</v>
      </c>
      <c r="D3" s="145">
        <f>'Expenses 2023'!C40</f>
        <v>59451399</v>
      </c>
      <c r="E3" s="146"/>
      <c r="F3" s="43"/>
      <c r="G3" s="43"/>
      <c r="H3" s="43"/>
      <c r="I3" s="43"/>
      <c r="J3" s="43"/>
      <c r="K3" s="43"/>
      <c r="L3" s="43"/>
      <c r="M3" s="43"/>
      <c r="N3" s="43"/>
      <c r="O3" s="43"/>
      <c r="P3" s="43"/>
      <c r="Q3" s="43"/>
      <c r="R3" s="43"/>
      <c r="S3" s="43"/>
      <c r="T3" s="43"/>
      <c r="U3" s="43"/>
      <c r="V3" s="43"/>
      <c r="W3" s="43"/>
      <c r="X3" s="43"/>
      <c r="Y3" s="43"/>
    </row>
    <row r="4">
      <c r="A4" s="138"/>
      <c r="B4" s="49"/>
      <c r="C4" s="144" t="s">
        <v>192</v>
      </c>
      <c r="D4" s="145">
        <f>'Expenses 2023'!C31</f>
        <v>6063294</v>
      </c>
      <c r="E4" s="146"/>
      <c r="F4" s="43"/>
      <c r="G4" s="43"/>
      <c r="H4" s="43"/>
      <c r="I4" s="43"/>
      <c r="J4" s="43"/>
      <c r="K4" s="43"/>
      <c r="L4" s="43"/>
      <c r="M4" s="43"/>
      <c r="N4" s="43"/>
      <c r="O4" s="43"/>
      <c r="P4" s="43"/>
      <c r="Q4" s="43"/>
      <c r="R4" s="43"/>
      <c r="S4" s="43"/>
      <c r="T4" s="43"/>
      <c r="U4" s="43"/>
      <c r="V4" s="43"/>
      <c r="W4" s="43"/>
      <c r="X4" s="43"/>
      <c r="Y4" s="43"/>
    </row>
    <row r="5">
      <c r="A5" s="138"/>
      <c r="B5" s="49"/>
      <c r="C5" s="144" t="s">
        <v>193</v>
      </c>
      <c r="D5" s="145">
        <f>D3-D4</f>
        <v>53388105</v>
      </c>
      <c r="E5" s="146"/>
      <c r="F5" s="43"/>
      <c r="G5" s="43"/>
      <c r="H5" s="43"/>
      <c r="I5" s="43"/>
      <c r="J5" s="43"/>
      <c r="K5" s="43"/>
      <c r="L5" s="43"/>
      <c r="M5" s="43"/>
      <c r="N5" s="43"/>
      <c r="O5" s="43"/>
      <c r="P5" s="43"/>
      <c r="Q5" s="43"/>
      <c r="R5" s="43"/>
      <c r="S5" s="43"/>
      <c r="T5" s="43"/>
      <c r="U5" s="43"/>
      <c r="V5" s="43"/>
      <c r="W5" s="43"/>
      <c r="X5" s="43"/>
      <c r="Y5" s="43"/>
    </row>
    <row r="6">
      <c r="A6" s="138"/>
      <c r="B6" s="49"/>
      <c r="C6" s="144" t="s">
        <v>194</v>
      </c>
      <c r="D6" s="145">
        <f>D5/12</f>
        <v>4449008.75</v>
      </c>
      <c r="E6" s="146"/>
      <c r="F6" s="43"/>
      <c r="G6" s="43"/>
      <c r="H6" s="43"/>
      <c r="I6" s="43"/>
      <c r="J6" s="43"/>
      <c r="K6" s="43"/>
      <c r="L6" s="43"/>
      <c r="M6" s="43"/>
      <c r="N6" s="43"/>
      <c r="O6" s="43"/>
      <c r="P6" s="43"/>
      <c r="Q6" s="43"/>
      <c r="R6" s="43"/>
      <c r="S6" s="43"/>
      <c r="T6" s="43"/>
      <c r="U6" s="43"/>
      <c r="V6" s="43"/>
      <c r="W6" s="43"/>
      <c r="X6" s="43"/>
      <c r="Y6" s="43"/>
    </row>
    <row r="7">
      <c r="A7" s="138"/>
      <c r="B7" s="49"/>
      <c r="C7" s="144" t="s">
        <v>195</v>
      </c>
      <c r="D7" s="74">
        <f>'Balance Sheet 2023'!E2+'Balance Sheet 2023'!E3</f>
        <v>13131132</v>
      </c>
      <c r="E7" s="146"/>
      <c r="F7" s="43"/>
      <c r="G7" s="43"/>
      <c r="H7" s="43"/>
      <c r="I7" s="43"/>
      <c r="J7" s="43"/>
      <c r="K7" s="43"/>
      <c r="L7" s="43"/>
      <c r="M7" s="43"/>
      <c r="N7" s="43"/>
      <c r="O7" s="43"/>
      <c r="P7" s="43"/>
      <c r="Q7" s="43"/>
      <c r="R7" s="43"/>
      <c r="S7" s="43"/>
      <c r="T7" s="43"/>
      <c r="U7" s="43"/>
      <c r="V7" s="43"/>
      <c r="W7" s="43"/>
      <c r="X7" s="43"/>
      <c r="Y7" s="43"/>
    </row>
    <row r="8">
      <c r="A8" s="138"/>
      <c r="B8" s="49"/>
      <c r="C8" s="147" t="s">
        <v>189</v>
      </c>
      <c r="D8" s="148">
        <f>D7/D6</f>
        <v>2.951473629</v>
      </c>
      <c r="E8" s="149" t="s">
        <v>196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198</v>
      </c>
      <c r="C11" s="144" t="s">
        <v>199</v>
      </c>
      <c r="D11" s="74">
        <f>'Balance Sheet 2023'!E30</f>
        <v>179603264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200</v>
      </c>
      <c r="D12" s="74">
        <f>'Expenses 2023'!C40</f>
        <v>59451399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201</v>
      </c>
      <c r="D13" s="145">
        <f>D12/12</f>
        <v>4954283.25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197</v>
      </c>
      <c r="D14" s="148">
        <f>D11/D13</f>
        <v>36.25211861</v>
      </c>
      <c r="E14" s="149" t="s">
        <v>196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203</v>
      </c>
      <c r="C17" s="144" t="s">
        <v>204</v>
      </c>
      <c r="D17" s="74">
        <f>sum('Balance Sheet 2023'!E13:E15)</f>
        <v>216843067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200</v>
      </c>
      <c r="D18" s="74">
        <f>'Expenses 2023'!C40</f>
        <v>59451399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201</v>
      </c>
      <c r="D19" s="145">
        <f>D18/12</f>
        <v>4954283.25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205</v>
      </c>
      <c r="D20" s="148">
        <f>D17/D19</f>
        <v>43.76880692</v>
      </c>
      <c r="E20" s="149" t="s">
        <v>196</v>
      </c>
      <c r="F20" s="43"/>
      <c r="G20" s="43"/>
      <c r="H20" s="43"/>
      <c r="I20" s="43"/>
      <c r="J20" s="43"/>
      <c r="K20" s="43"/>
      <c r="L20" s="43"/>
      <c r="M20" s="43"/>
      <c r="N20" s="43"/>
      <c r="O20" s="43"/>
      <c r="P20" s="43"/>
      <c r="Q20" s="43"/>
      <c r="R20" s="43"/>
      <c r="S20" s="43"/>
      <c r="T20" s="43"/>
      <c r="U20" s="43"/>
      <c r="V20" s="43"/>
      <c r="W20" s="43"/>
      <c r="X20" s="43"/>
      <c r="Y20" s="43"/>
    </row>
    <row r="21">
      <c r="A21" s="138"/>
      <c r="B21" s="49"/>
      <c r="C21" s="153" t="s">
        <v>206</v>
      </c>
      <c r="D21" s="154">
        <f>D20+D8</f>
        <v>46.72028055</v>
      </c>
      <c r="E21" s="155" t="s">
        <v>196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208</v>
      </c>
      <c r="C24" s="159"/>
      <c r="D24" s="160">
        <f>max('Revenues 2023'!E2:E7,'Revenues 2023'!F10:F15)</f>
        <v>50640521</v>
      </c>
      <c r="E24" s="161" t="s">
        <v>209</v>
      </c>
      <c r="F24" s="43"/>
      <c r="G24" s="43"/>
      <c r="H24" s="43"/>
      <c r="I24" s="43"/>
      <c r="J24" s="43"/>
      <c r="K24" s="43"/>
      <c r="L24" s="43"/>
      <c r="M24" s="43"/>
      <c r="N24" s="43"/>
      <c r="O24" s="43"/>
      <c r="P24" s="43"/>
      <c r="Q24" s="43"/>
      <c r="R24" s="43"/>
      <c r="S24" s="43"/>
      <c r="T24" s="43"/>
      <c r="U24" s="43"/>
      <c r="V24" s="43"/>
      <c r="W24" s="43"/>
      <c r="X24" s="43"/>
      <c r="Y24" s="43"/>
    </row>
    <row r="25">
      <c r="A25" s="138"/>
      <c r="B25" s="49"/>
      <c r="C25" s="144" t="s">
        <v>210</v>
      </c>
      <c r="D25" s="145">
        <f>'Revenues 2023'!F44</f>
        <v>75291273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207</v>
      </c>
      <c r="D26" s="162">
        <f>D24/D25</f>
        <v>0.6725948305</v>
      </c>
      <c r="E26" s="149" t="s">
        <v>211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213</v>
      </c>
      <c r="C29" s="144" t="s">
        <v>214</v>
      </c>
      <c r="D29" s="74">
        <f>SUM('Expenses 2023'!C7:C9)</f>
        <v>26408316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215</v>
      </c>
      <c r="D30" s="74">
        <f>SUM('Expenses 2023'!C10:C12)</f>
        <v>6276218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216</v>
      </c>
      <c r="D31" s="74">
        <f>sum(D29:D30)</f>
        <v>32684534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191</v>
      </c>
      <c r="D32" s="74">
        <f>'Expenses 2023'!C40</f>
        <v>59451399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217</v>
      </c>
      <c r="D33" s="162">
        <f>D31/D32</f>
        <v>0.5497689634</v>
      </c>
      <c r="E33" s="149" t="s">
        <v>218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220</v>
      </c>
      <c r="C36" s="144" t="s">
        <v>221</v>
      </c>
      <c r="D36" s="74">
        <f>SUM('Expenses 2023'!C10:C11)</f>
        <v>4326452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214</v>
      </c>
      <c r="D37" s="74">
        <f>SUM('Expenses 2023'!C7:C9)</f>
        <v>26408316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219</v>
      </c>
      <c r="D38" s="162">
        <f>D36/D37</f>
        <v>0.1638291514</v>
      </c>
      <c r="E38" s="149" t="s">
        <v>222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224</v>
      </c>
      <c r="C41" s="147" t="s">
        <v>256</v>
      </c>
      <c r="D41" s="74">
        <f>'Expenses 2023'!D40</f>
        <v>46183811</v>
      </c>
      <c r="E41" s="164">
        <f t="shared" ref="E41:E44" si="1">D41/$D$44</f>
        <v>0.7768330397</v>
      </c>
      <c r="F41" s="43"/>
      <c r="G41" s="43"/>
      <c r="H41" s="43"/>
      <c r="I41" s="43"/>
      <c r="J41" s="43"/>
      <c r="K41" s="43"/>
      <c r="L41" s="43"/>
      <c r="M41" s="43"/>
      <c r="N41" s="43"/>
      <c r="O41" s="43"/>
      <c r="P41" s="43"/>
      <c r="Q41" s="43"/>
      <c r="R41" s="43"/>
      <c r="S41" s="43"/>
      <c r="T41" s="43"/>
      <c r="U41" s="43"/>
      <c r="V41" s="43"/>
      <c r="W41" s="43"/>
      <c r="X41" s="43"/>
      <c r="Y41" s="43"/>
    </row>
    <row r="42">
      <c r="A42" s="138"/>
      <c r="B42" s="49"/>
      <c r="C42" s="147" t="s">
        <v>226</v>
      </c>
      <c r="D42" s="145">
        <f>'Expenses 2023'!E40</f>
        <v>10982724</v>
      </c>
      <c r="E42" s="164">
        <f t="shared" si="1"/>
        <v>0.1847344921</v>
      </c>
      <c r="F42" s="43"/>
      <c r="G42" s="43"/>
      <c r="H42" s="43"/>
      <c r="I42" s="43"/>
      <c r="J42" s="43"/>
      <c r="K42" s="43"/>
      <c r="L42" s="43"/>
      <c r="M42" s="43"/>
      <c r="N42" s="43"/>
      <c r="O42" s="43"/>
      <c r="P42" s="43"/>
      <c r="Q42" s="43"/>
      <c r="R42" s="43"/>
      <c r="S42" s="43"/>
      <c r="T42" s="43"/>
      <c r="U42" s="43"/>
      <c r="V42" s="43"/>
      <c r="W42" s="43"/>
      <c r="X42" s="43"/>
      <c r="Y42" s="43"/>
    </row>
    <row r="43">
      <c r="A43" s="138"/>
      <c r="B43" s="49"/>
      <c r="C43" s="147" t="s">
        <v>227</v>
      </c>
      <c r="D43" s="145">
        <f>'Expenses 2023'!F40</f>
        <v>2284864</v>
      </c>
      <c r="E43" s="164">
        <f t="shared" si="1"/>
        <v>0.03843246817</v>
      </c>
      <c r="F43" s="43"/>
      <c r="G43" s="43"/>
      <c r="H43" s="43"/>
      <c r="I43" s="43"/>
      <c r="J43" s="43"/>
      <c r="K43" s="43"/>
      <c r="L43" s="43"/>
      <c r="M43" s="43"/>
      <c r="N43" s="43"/>
      <c r="O43" s="43"/>
      <c r="P43" s="43"/>
      <c r="Q43" s="43"/>
      <c r="R43" s="43"/>
      <c r="S43" s="43"/>
      <c r="T43" s="43"/>
      <c r="U43" s="43"/>
      <c r="V43" s="43"/>
      <c r="W43" s="43"/>
      <c r="X43" s="43"/>
      <c r="Y43" s="43"/>
    </row>
    <row r="44">
      <c r="A44" s="138"/>
      <c r="B44" s="49"/>
      <c r="C44" s="144" t="s">
        <v>191</v>
      </c>
      <c r="D44" s="145">
        <f>sum(D41:D43)</f>
        <v>59451399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229</v>
      </c>
      <c r="C47" s="144" t="s">
        <v>230</v>
      </c>
      <c r="D47" s="145">
        <f>'Revenues 2023'!F9</f>
        <v>59499886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231</v>
      </c>
      <c r="D48" s="145">
        <f>'Expenses 2023'!F40</f>
        <v>2284864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232</v>
      </c>
      <c r="D49" s="165">
        <f>D47/D48</f>
        <v>26.04088734</v>
      </c>
      <c r="E49" s="149" t="s">
        <v>233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235</v>
      </c>
      <c r="C52" s="144" t="s">
        <v>236</v>
      </c>
      <c r="D52" s="145">
        <f>sum('Balance Sheet 2023'!E2:E10)</f>
        <v>37753795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237</v>
      </c>
      <c r="D53" s="145">
        <f>sum('Balance Sheet 2023'!E19:E22)</f>
        <v>5077186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238</v>
      </c>
      <c r="D54" s="167">
        <f>D52/D53</f>
        <v>7.435968468</v>
      </c>
      <c r="E54" s="149" t="s">
        <v>239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240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241</v>
      </c>
      <c r="C57" s="144" t="s">
        <v>242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243</v>
      </c>
      <c r="D58" s="145">
        <f>'Balance Sheet 2023'!E18</f>
        <v>398407077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244</v>
      </c>
      <c r="D59" s="168">
        <f>D57/D58</f>
        <v>0</v>
      </c>
      <c r="E59" s="149" t="s">
        <v>245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MISSOURI BOTANICAL GARDEN</v>
      </c>
      <c r="B1" s="2" t="s">
        <v>257</v>
      </c>
      <c r="C1" s="138"/>
      <c r="D1" s="138"/>
      <c r="E1" s="138"/>
      <c r="F1" s="139"/>
      <c r="G1" s="139"/>
      <c r="H1" s="139"/>
      <c r="I1" s="43"/>
      <c r="J1" s="43"/>
      <c r="K1" s="43"/>
      <c r="L1" s="43"/>
      <c r="M1" s="43"/>
      <c r="N1" s="43"/>
      <c r="O1" s="43"/>
      <c r="P1" s="43"/>
      <c r="Q1" s="43"/>
      <c r="R1" s="43"/>
      <c r="S1" s="43"/>
      <c r="T1" s="43"/>
      <c r="U1" s="43"/>
      <c r="V1" s="43"/>
      <c r="W1" s="43"/>
      <c r="X1" s="43"/>
      <c r="Y1" s="43"/>
    </row>
    <row r="2">
      <c r="A2" s="140" t="s">
        <v>189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190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258</v>
      </c>
      <c r="E4" s="45" t="s">
        <v>259</v>
      </c>
      <c r="F4" s="45" t="s">
        <v>260</v>
      </c>
      <c r="G4" s="59" t="s">
        <v>261</v>
      </c>
      <c r="H4" s="59"/>
      <c r="I4" s="43"/>
      <c r="J4" s="43"/>
      <c r="K4" s="43"/>
      <c r="L4" s="43"/>
      <c r="M4" s="43"/>
      <c r="N4" s="43"/>
      <c r="O4" s="43"/>
      <c r="P4" s="43"/>
      <c r="Q4" s="43"/>
      <c r="R4" s="43"/>
      <c r="S4" s="43"/>
      <c r="T4" s="43"/>
      <c r="U4" s="43"/>
      <c r="V4" s="43"/>
      <c r="W4" s="43"/>
      <c r="X4" s="43"/>
      <c r="Y4" s="43"/>
    </row>
    <row r="5">
      <c r="A5" s="138"/>
      <c r="B5" s="49"/>
      <c r="C5" s="147" t="s">
        <v>189</v>
      </c>
      <c r="D5" s="175">
        <f>'Ratios 2021'!D8</f>
        <v>1.721052459</v>
      </c>
      <c r="E5" s="175">
        <f>'Ratios 2022'!D8</f>
        <v>1.027921021</v>
      </c>
      <c r="F5" s="175">
        <f>'Ratios 2023'!D8</f>
        <v>2.951473629</v>
      </c>
      <c r="G5" s="175">
        <f>average(D5:F5)</f>
        <v>1.900149036</v>
      </c>
      <c r="H5" s="149" t="s">
        <v>196</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197</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198</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258</v>
      </c>
      <c r="E9" s="45" t="s">
        <v>259</v>
      </c>
      <c r="F9" s="45" t="s">
        <v>260</v>
      </c>
      <c r="G9" s="59" t="s">
        <v>261</v>
      </c>
      <c r="H9" s="59"/>
      <c r="I9" s="43"/>
      <c r="J9" s="43"/>
      <c r="K9" s="43"/>
      <c r="L9" s="43"/>
      <c r="M9" s="43"/>
      <c r="N9" s="43"/>
      <c r="O9" s="43"/>
      <c r="P9" s="43"/>
      <c r="Q9" s="43"/>
      <c r="R9" s="43"/>
      <c r="S9" s="43"/>
      <c r="T9" s="43"/>
      <c r="U9" s="43"/>
      <c r="V9" s="43"/>
      <c r="W9" s="43"/>
      <c r="X9" s="43"/>
      <c r="Y9" s="43"/>
    </row>
    <row r="10">
      <c r="A10" s="138"/>
      <c r="B10" s="49"/>
      <c r="C10" s="147" t="s">
        <v>197</v>
      </c>
      <c r="D10" s="148">
        <f>'Ratios 2021'!D14</f>
        <v>37.32631945</v>
      </c>
      <c r="E10" s="148">
        <f>'Ratios 2022'!D14</f>
        <v>36.81786455</v>
      </c>
      <c r="F10" s="148">
        <f>'Ratios 2023'!D14</f>
        <v>36.25211861</v>
      </c>
      <c r="G10" s="175">
        <f>average(D10:F10)</f>
        <v>36.79876754</v>
      </c>
      <c r="H10" s="149" t="s">
        <v>196</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202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258</v>
      </c>
      <c r="E14" s="45" t="s">
        <v>259</v>
      </c>
      <c r="F14" s="45" t="s">
        <v>260</v>
      </c>
      <c r="G14" s="59" t="s">
        <v>261</v>
      </c>
      <c r="H14" s="59"/>
      <c r="I14" s="43"/>
      <c r="J14" s="43"/>
      <c r="K14" s="43"/>
      <c r="L14" s="43"/>
      <c r="M14" s="43"/>
      <c r="N14" s="43"/>
      <c r="O14" s="43"/>
      <c r="P14" s="43"/>
      <c r="Q14" s="43"/>
      <c r="R14" s="43"/>
      <c r="S14" s="43"/>
      <c r="T14" s="43"/>
      <c r="U14" s="43"/>
      <c r="V14" s="43"/>
      <c r="W14" s="43"/>
      <c r="X14" s="43"/>
      <c r="Y14" s="43"/>
    </row>
    <row r="15">
      <c r="A15" s="138"/>
      <c r="B15" s="49"/>
      <c r="C15" s="147" t="s">
        <v>205</v>
      </c>
      <c r="D15" s="178">
        <f>'Ratios 2021'!D20</f>
        <v>37.47871227</v>
      </c>
      <c r="E15" s="178">
        <f>'Ratios 2022'!D20</f>
        <v>38.8708257</v>
      </c>
      <c r="F15" s="178">
        <f>'Ratios 2023'!D20</f>
        <v>43.76880692</v>
      </c>
      <c r="G15" s="175">
        <f>average(D15:F15)</f>
        <v>40.0394483</v>
      </c>
      <c r="H15" s="149" t="s">
        <v>196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258</v>
      </c>
      <c r="E19" s="45" t="s">
        <v>259</v>
      </c>
      <c r="F19" s="45" t="s">
        <v>260</v>
      </c>
      <c r="G19" s="59" t="s">
        <v>261</v>
      </c>
      <c r="H19" s="59"/>
      <c r="I19" s="43"/>
      <c r="J19" s="43"/>
      <c r="K19" s="43"/>
      <c r="L19" s="43"/>
      <c r="M19" s="43"/>
      <c r="N19" s="43"/>
      <c r="O19" s="43"/>
      <c r="P19" s="43"/>
      <c r="Q19" s="43"/>
      <c r="R19" s="43"/>
      <c r="S19" s="43"/>
      <c r="T19" s="43"/>
      <c r="U19" s="43"/>
      <c r="V19" s="43"/>
      <c r="W19" s="43"/>
      <c r="X19" s="43"/>
      <c r="Y19" s="43"/>
    </row>
    <row r="20">
      <c r="A20" s="138"/>
      <c r="B20" s="49"/>
      <c r="C20" s="147" t="s">
        <v>207</v>
      </c>
      <c r="D20" s="162">
        <f>'Ratios 2021'!D26</f>
        <v>0.7033214578</v>
      </c>
      <c r="E20" s="162">
        <f>'Ratios 2022'!D26</f>
        <v>0.5791986847</v>
      </c>
      <c r="F20" s="162">
        <f>'Ratios 2023'!D26</f>
        <v>0.6725948305</v>
      </c>
      <c r="G20" s="179">
        <f>average(D20:F20)</f>
        <v>0.651704991</v>
      </c>
      <c r="H20" s="149" t="s">
        <v>211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258</v>
      </c>
      <c r="E24" s="45" t="s">
        <v>259</v>
      </c>
      <c r="F24" s="45" t="s">
        <v>260</v>
      </c>
      <c r="G24" s="59" t="s">
        <v>261</v>
      </c>
      <c r="H24" s="59"/>
      <c r="I24" s="43"/>
      <c r="J24" s="43"/>
      <c r="K24" s="43"/>
      <c r="L24" s="43"/>
      <c r="M24" s="43"/>
      <c r="N24" s="43"/>
      <c r="O24" s="43"/>
      <c r="P24" s="43"/>
      <c r="Q24" s="43"/>
      <c r="R24" s="43"/>
      <c r="S24" s="43"/>
      <c r="T24" s="43"/>
      <c r="U24" s="43"/>
      <c r="V24" s="43"/>
      <c r="W24" s="43"/>
      <c r="X24" s="43"/>
      <c r="Y24" s="43"/>
    </row>
    <row r="25">
      <c r="A25" s="138"/>
      <c r="B25" s="49"/>
      <c r="C25" s="147" t="s">
        <v>217</v>
      </c>
      <c r="D25" s="162">
        <f>'Ratios 2021'!D33</f>
        <v>0.5248844213</v>
      </c>
      <c r="E25" s="162">
        <f>'Ratios 2022'!D33</f>
        <v>0.5185816499</v>
      </c>
      <c r="F25" s="162">
        <f>'Ratios 2023'!D33</f>
        <v>0.5497689634</v>
      </c>
      <c r="G25" s="179">
        <f>average(D25:F25)</f>
        <v>0.5310783448</v>
      </c>
      <c r="H25" s="149" t="s">
        <v>218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220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258</v>
      </c>
      <c r="E29" s="45" t="s">
        <v>259</v>
      </c>
      <c r="F29" s="45" t="s">
        <v>260</v>
      </c>
      <c r="G29" s="59" t="s">
        <v>261</v>
      </c>
      <c r="H29" s="59"/>
      <c r="I29" s="43"/>
      <c r="J29" s="43"/>
      <c r="K29" s="43"/>
      <c r="L29" s="43"/>
      <c r="M29" s="43"/>
      <c r="N29" s="43"/>
      <c r="O29" s="43"/>
      <c r="P29" s="43"/>
      <c r="Q29" s="43"/>
      <c r="R29" s="43"/>
      <c r="S29" s="43"/>
      <c r="T29" s="43"/>
      <c r="U29" s="43"/>
      <c r="V29" s="43"/>
      <c r="W29" s="43"/>
      <c r="X29" s="43"/>
      <c r="Y29" s="43"/>
    </row>
    <row r="30">
      <c r="A30" s="138"/>
      <c r="B30" s="49"/>
      <c r="C30" s="147" t="s">
        <v>219</v>
      </c>
      <c r="D30" s="162">
        <f>'Ratios 2021'!D38</f>
        <v>0.1783788155</v>
      </c>
      <c r="E30" s="162">
        <f>'Ratios 2022'!D38</f>
        <v>0.1620068282</v>
      </c>
      <c r="F30" s="162">
        <f>'Ratios 2023'!D38</f>
        <v>0.1638291514</v>
      </c>
      <c r="G30" s="179">
        <f>average(D30:F30)</f>
        <v>0.1680715984</v>
      </c>
      <c r="H30" s="149" t="s">
        <v>222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258</v>
      </c>
      <c r="E34" s="45" t="s">
        <v>259</v>
      </c>
      <c r="F34" s="45" t="s">
        <v>260</v>
      </c>
      <c r="G34" s="59" t="s">
        <v>261</v>
      </c>
      <c r="H34" s="59"/>
      <c r="I34" s="43"/>
      <c r="J34" s="43"/>
      <c r="K34" s="43"/>
      <c r="L34" s="43"/>
      <c r="M34" s="43"/>
      <c r="N34" s="43"/>
      <c r="O34" s="43"/>
      <c r="P34" s="43"/>
      <c r="Q34" s="43"/>
      <c r="R34" s="43"/>
      <c r="S34" s="43"/>
      <c r="T34" s="43"/>
      <c r="U34" s="43"/>
      <c r="V34" s="43"/>
      <c r="W34" s="43"/>
      <c r="X34" s="43"/>
      <c r="Y34" s="43"/>
    </row>
    <row r="35">
      <c r="A35" s="138"/>
      <c r="B35" s="49"/>
      <c r="C35" s="147" t="s">
        <v>262</v>
      </c>
      <c r="D35" s="162">
        <f>'Ratios 2021'!E41</f>
        <v>0.7918882133</v>
      </c>
      <c r="E35" s="162">
        <f>'Ratios 2022'!E41</f>
        <v>0.7817448777</v>
      </c>
      <c r="F35" s="162">
        <f>'Ratios 2023'!E41</f>
        <v>0.7768330397</v>
      </c>
      <c r="G35" s="179">
        <f t="shared" ref="G35:G37" si="1">average(D35:F35)</f>
        <v>0.7834887102</v>
      </c>
      <c r="H35" s="179"/>
      <c r="I35" s="43"/>
      <c r="J35" s="43"/>
      <c r="K35" s="43"/>
      <c r="L35" s="43"/>
      <c r="M35" s="43"/>
      <c r="N35" s="43"/>
      <c r="O35" s="43"/>
      <c r="P35" s="43"/>
      <c r="Q35" s="43"/>
      <c r="R35" s="43"/>
      <c r="S35" s="43"/>
      <c r="T35" s="43"/>
      <c r="U35" s="43"/>
      <c r="V35" s="43"/>
      <c r="W35" s="43"/>
      <c r="X35" s="43"/>
      <c r="Y35" s="43"/>
    </row>
    <row r="36">
      <c r="A36" s="138"/>
      <c r="B36" s="52"/>
      <c r="C36" s="147" t="s">
        <v>226</v>
      </c>
      <c r="D36" s="162">
        <f>'Ratios 2021'!E42</f>
        <v>0.16881575</v>
      </c>
      <c r="E36" s="162">
        <f>'Ratios 2022'!E42</f>
        <v>0.1784522241</v>
      </c>
      <c r="F36" s="162">
        <f>'Ratios 2023'!E42</f>
        <v>0.1847344921</v>
      </c>
      <c r="G36" s="179">
        <f t="shared" si="1"/>
        <v>0.1773341554</v>
      </c>
      <c r="H36" s="179"/>
      <c r="I36" s="43"/>
      <c r="J36" s="43"/>
      <c r="K36" s="43"/>
      <c r="L36" s="43"/>
      <c r="M36" s="43"/>
      <c r="N36" s="43"/>
      <c r="O36" s="43"/>
      <c r="P36" s="43"/>
      <c r="Q36" s="43"/>
      <c r="R36" s="43"/>
      <c r="S36" s="43"/>
      <c r="T36" s="43"/>
      <c r="U36" s="43"/>
      <c r="V36" s="43"/>
      <c r="W36" s="43"/>
      <c r="X36" s="43"/>
      <c r="Y36" s="43"/>
    </row>
    <row r="37">
      <c r="A37" s="138"/>
      <c r="B37" s="180"/>
      <c r="C37" s="147" t="s">
        <v>227</v>
      </c>
      <c r="D37" s="162">
        <f>'Ratios 2021'!E43</f>
        <v>0.03929603666</v>
      </c>
      <c r="E37" s="162">
        <f>'Ratios 2022'!E43</f>
        <v>0.03980289822</v>
      </c>
      <c r="F37" s="162">
        <f>'Ratios 2023'!E43</f>
        <v>0.03843246817</v>
      </c>
      <c r="G37" s="179">
        <f t="shared" si="1"/>
        <v>0.03917713435</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258</v>
      </c>
      <c r="E41" s="45" t="s">
        <v>259</v>
      </c>
      <c r="F41" s="45" t="s">
        <v>260</v>
      </c>
      <c r="G41" s="59" t="s">
        <v>261</v>
      </c>
      <c r="H41" s="59"/>
      <c r="I41" s="43"/>
      <c r="J41" s="43"/>
      <c r="K41" s="43"/>
      <c r="L41" s="43"/>
      <c r="M41" s="43"/>
      <c r="N41" s="43"/>
      <c r="O41" s="43"/>
      <c r="P41" s="43"/>
      <c r="Q41" s="43"/>
      <c r="R41" s="43"/>
      <c r="S41" s="43"/>
      <c r="T41" s="43"/>
      <c r="U41" s="43"/>
      <c r="V41" s="43"/>
      <c r="W41" s="43"/>
      <c r="X41" s="43"/>
      <c r="Y41" s="43"/>
    </row>
    <row r="42">
      <c r="A42" s="138"/>
      <c r="B42" s="49"/>
      <c r="C42" s="147" t="s">
        <v>232</v>
      </c>
      <c r="D42" s="165">
        <f>'Ratios 2021'!D49</f>
        <v>22.8742346</v>
      </c>
      <c r="E42" s="165">
        <f>'Ratios 2022'!D49</f>
        <v>17.38710562</v>
      </c>
      <c r="F42" s="165">
        <f>'Ratios 2023'!D49</f>
        <v>26.04088734</v>
      </c>
      <c r="G42" s="181">
        <f>average(D42:F42)</f>
        <v>22.10074252</v>
      </c>
      <c r="H42" s="149" t="s">
        <v>233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258</v>
      </c>
      <c r="E46" s="45" t="s">
        <v>259</v>
      </c>
      <c r="F46" s="45" t="s">
        <v>260</v>
      </c>
      <c r="G46" s="59" t="s">
        <v>261</v>
      </c>
      <c r="H46" s="59"/>
      <c r="I46" s="43"/>
      <c r="J46" s="43"/>
      <c r="K46" s="43"/>
      <c r="L46" s="43"/>
      <c r="M46" s="43"/>
      <c r="N46" s="43"/>
      <c r="O46" s="43"/>
      <c r="P46" s="43"/>
      <c r="Q46" s="43"/>
      <c r="R46" s="43"/>
      <c r="S46" s="43"/>
      <c r="T46" s="43"/>
      <c r="U46" s="43"/>
      <c r="V46" s="43"/>
      <c r="W46" s="43"/>
      <c r="X46" s="43"/>
      <c r="Y46" s="43"/>
    </row>
    <row r="47">
      <c r="A47" s="138"/>
      <c r="B47" s="49"/>
      <c r="C47" s="147" t="s">
        <v>238</v>
      </c>
      <c r="D47" s="148">
        <f>'Ratios 2021'!D54</f>
        <v>3.800086159</v>
      </c>
      <c r="E47" s="148">
        <f>'Ratios 2022'!D54</f>
        <v>4.202269012</v>
      </c>
      <c r="F47" s="148">
        <f>'Ratios 2023'!D54</f>
        <v>7.435968468</v>
      </c>
      <c r="G47" s="175">
        <f>average(D47:F47)</f>
        <v>5.14610788</v>
      </c>
      <c r="H47" s="149" t="s">
        <v>239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240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241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258</v>
      </c>
      <c r="E51" s="45" t="s">
        <v>259</v>
      </c>
      <c r="F51" s="45" t="s">
        <v>260</v>
      </c>
      <c r="G51" s="59" t="s">
        <v>261</v>
      </c>
      <c r="H51" s="59"/>
      <c r="I51" s="43"/>
      <c r="J51" s="43"/>
      <c r="K51" s="43"/>
      <c r="L51" s="43"/>
      <c r="M51" s="43"/>
      <c r="N51" s="43"/>
      <c r="O51" s="43"/>
      <c r="P51" s="43"/>
      <c r="Q51" s="43"/>
      <c r="R51" s="43"/>
      <c r="S51" s="43"/>
      <c r="T51" s="43"/>
      <c r="U51" s="43"/>
      <c r="V51" s="43"/>
      <c r="W51" s="43"/>
      <c r="X51" s="43"/>
      <c r="Y51" s="43"/>
    </row>
    <row r="52">
      <c r="A52" s="138"/>
      <c r="B52" s="49"/>
      <c r="C52" s="147" t="s">
        <v>244</v>
      </c>
      <c r="D52" s="182">
        <f>'Ratios 2021'!D59</f>
        <v>0</v>
      </c>
      <c r="E52" s="182">
        <f>'Ratios 2022'!D59</f>
        <v>0</v>
      </c>
      <c r="F52" s="182">
        <f>'Ratios 2023'!D59</f>
        <v>0</v>
      </c>
      <c r="G52" s="183">
        <f>average(D52:F52)</f>
        <v>0</v>
      </c>
      <c r="H52" s="149" t="s">
        <v>245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MISSOURI BOTANICAL GARDEN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MISSOURI BOTANICAL GARDEN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4407355.0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20589.0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2011044.0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4.1112314E7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4820586.0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47551302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5364994.0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384004.0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264558.0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198920.0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159861.0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289954.0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6662291</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1894676.0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101840.0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101840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101840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5.0574533E7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4.9667893E7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906640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906640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30935.0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15552.0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15383</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1624375.0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718469.0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905906</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191725.0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127481.0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104</v>
      </c>
      <c r="D41" s="73"/>
      <c r="E41" s="48">
        <v>83382.0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105</v>
      </c>
      <c r="D42" s="73"/>
      <c r="E42" s="48">
        <v>13888.0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416476</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58454514</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MISSOURI BOTANICAL GARDEN</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153312</v>
      </c>
      <c r="D4" s="98">
        <v>153312.0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334645</v>
      </c>
      <c r="D5" s="98">
        <v>334645.0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2843595</v>
      </c>
      <c r="D7" s="98">
        <v>2222871.0</v>
      </c>
      <c r="E7" s="98">
        <v>484220.0</v>
      </c>
      <c r="F7" s="98">
        <v>136504.0</v>
      </c>
      <c r="G7" s="43"/>
      <c r="H7" s="43"/>
      <c r="I7" s="43"/>
      <c r="J7" s="43"/>
      <c r="K7" s="43"/>
      <c r="L7" s="43"/>
      <c r="M7" s="43"/>
      <c r="N7" s="43"/>
      <c r="O7" s="43"/>
      <c r="P7" s="43"/>
      <c r="Q7" s="43"/>
      <c r="R7" s="43"/>
      <c r="S7" s="43"/>
      <c r="T7" s="43"/>
      <c r="U7" s="43"/>
      <c r="V7" s="43"/>
      <c r="W7" s="43"/>
      <c r="X7" s="43"/>
      <c r="Y7" s="43"/>
      <c r="Z7" s="43"/>
    </row>
    <row r="8">
      <c r="A8" s="79">
        <v>6.0</v>
      </c>
      <c r="B8" s="95" t="s">
        <v>116</v>
      </c>
      <c r="C8" s="97">
        <f t="shared" si="1"/>
        <v>19389544</v>
      </c>
      <c r="D8" s="98">
        <v>1.5083983E7</v>
      </c>
      <c r="E8" s="98">
        <v>3358722.0</v>
      </c>
      <c r="F8" s="98">
        <v>946839.0</v>
      </c>
      <c r="G8" s="43"/>
      <c r="H8" s="43"/>
      <c r="I8" s="99"/>
      <c r="J8" s="43"/>
      <c r="K8" s="43"/>
      <c r="L8" s="43"/>
      <c r="M8" s="43"/>
      <c r="N8" s="43"/>
      <c r="O8" s="43"/>
      <c r="P8" s="43"/>
      <c r="Q8" s="43"/>
      <c r="R8" s="43"/>
      <c r="S8" s="43"/>
      <c r="T8" s="43"/>
      <c r="U8" s="43"/>
      <c r="V8" s="43"/>
      <c r="W8" s="43"/>
      <c r="X8" s="43"/>
      <c r="Y8" s="43"/>
      <c r="Z8" s="43"/>
    </row>
    <row r="9">
      <c r="A9" s="100">
        <v>7.0</v>
      </c>
      <c r="B9" s="46" t="s">
        <v>117</v>
      </c>
      <c r="C9" s="97">
        <f t="shared" si="1"/>
        <v>0</v>
      </c>
      <c r="D9" s="98">
        <v>0.0</v>
      </c>
      <c r="E9" s="98">
        <v>0.0</v>
      </c>
      <c r="F9" s="98">
        <v>0.0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1060744</v>
      </c>
      <c r="D10" s="98">
        <v>830948.0</v>
      </c>
      <c r="E10" s="98">
        <v>185669.0</v>
      </c>
      <c r="F10" s="98">
        <v>44127.0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2905177</v>
      </c>
      <c r="D11" s="98">
        <v>2314395.0</v>
      </c>
      <c r="E11" s="98">
        <v>496367.0</v>
      </c>
      <c r="F11" s="98">
        <v>94415.0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1568056</v>
      </c>
      <c r="D12" s="98">
        <v>1238674.0</v>
      </c>
      <c r="E12" s="98">
        <v>263933.0</v>
      </c>
      <c r="F12" s="98">
        <v>65449.0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65025</v>
      </c>
      <c r="D15" s="98">
        <v>0.0</v>
      </c>
      <c r="E15" s="98">
        <v>65025.0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124331</v>
      </c>
      <c r="D16" s="98">
        <v>1384.0</v>
      </c>
      <c r="E16" s="98">
        <v>122947.0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97200</v>
      </c>
      <c r="D19" s="98">
        <v>0.0</v>
      </c>
      <c r="E19" s="98">
        <v>97200.0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5781906</v>
      </c>
      <c r="D20" s="98">
        <v>4463924.0</v>
      </c>
      <c r="E20" s="98">
        <v>1162127.0</v>
      </c>
      <c r="F20" s="98">
        <v>155855.0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498273</v>
      </c>
      <c r="D21" s="98">
        <v>5973.0</v>
      </c>
      <c r="E21" s="98">
        <v>409455.0</v>
      </c>
      <c r="F21" s="98">
        <v>82845.0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4268287</v>
      </c>
      <c r="D22" s="98">
        <v>2970229.0</v>
      </c>
      <c r="E22" s="98">
        <v>1187175.0</v>
      </c>
      <c r="F22" s="98">
        <v>110883.0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1430115</v>
      </c>
      <c r="D25" s="98">
        <v>1279977.0</v>
      </c>
      <c r="E25" s="98">
        <v>129097.0</v>
      </c>
      <c r="F25" s="98">
        <v>21041.0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770542</v>
      </c>
      <c r="D26" s="98">
        <v>728669.0</v>
      </c>
      <c r="E26" s="98">
        <v>27875.0</v>
      </c>
      <c r="F26" s="98">
        <v>13998.0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26864</v>
      </c>
      <c r="D28" s="98">
        <v>19218.0</v>
      </c>
      <c r="E28" s="98">
        <v>7181.0</v>
      </c>
      <c r="F28" s="98">
        <v>465.0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3163</v>
      </c>
      <c r="D29" s="98">
        <v>2545.0</v>
      </c>
      <c r="E29" s="98">
        <v>598.0</v>
      </c>
      <c r="F29" s="98">
        <v>20.0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4503610</v>
      </c>
      <c r="D31" s="98">
        <v>4215103.0</v>
      </c>
      <c r="E31" s="98">
        <v>249117.0</v>
      </c>
      <c r="F31" s="98">
        <v>39390.0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867020</v>
      </c>
      <c r="D32" s="98">
        <v>340401.0</v>
      </c>
      <c r="E32" s="98">
        <v>512693.0</v>
      </c>
      <c r="F32" s="98">
        <v>13926.0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101" t="s">
        <v>142</v>
      </c>
      <c r="C34" s="97">
        <f t="shared" si="1"/>
        <v>2623583</v>
      </c>
      <c r="D34" s="98">
        <v>2623583.0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143</v>
      </c>
      <c r="C35" s="97">
        <f t="shared" si="1"/>
        <v>1117457</v>
      </c>
      <c r="D35" s="98">
        <v>1054290.0</v>
      </c>
      <c r="E35" s="98">
        <v>43451.0</v>
      </c>
      <c r="F35" s="98">
        <v>19716.0</v>
      </c>
      <c r="G35" s="43"/>
      <c r="H35" s="43"/>
      <c r="I35" s="43"/>
      <c r="J35" s="43"/>
      <c r="K35" s="43"/>
      <c r="L35" s="43"/>
      <c r="M35" s="43"/>
      <c r="N35" s="43"/>
      <c r="O35" s="43"/>
      <c r="P35" s="43"/>
      <c r="Q35" s="43"/>
      <c r="R35" s="43"/>
      <c r="S35" s="43"/>
      <c r="T35" s="43"/>
      <c r="U35" s="43"/>
      <c r="V35" s="43"/>
      <c r="W35" s="43"/>
      <c r="X35" s="43"/>
      <c r="Y35" s="43"/>
      <c r="Z35" s="43"/>
    </row>
    <row r="36">
      <c r="A36" s="45" t="s">
        <v>50</v>
      </c>
      <c r="B36" s="102" t="s">
        <v>144</v>
      </c>
      <c r="C36" s="97">
        <f t="shared" si="1"/>
        <v>701415</v>
      </c>
      <c r="D36" s="98">
        <v>698115.0</v>
      </c>
      <c r="E36" s="98">
        <v>0.0</v>
      </c>
      <c r="F36" s="98">
        <v>3300.0</v>
      </c>
      <c r="G36" s="43"/>
      <c r="H36" s="43"/>
      <c r="I36" s="43"/>
      <c r="J36" s="43"/>
      <c r="K36" s="43"/>
      <c r="L36" s="43"/>
      <c r="M36" s="43"/>
      <c r="N36" s="43"/>
      <c r="O36" s="43"/>
      <c r="P36" s="43"/>
      <c r="Q36" s="43"/>
      <c r="R36" s="43"/>
      <c r="S36" s="43"/>
      <c r="T36" s="43"/>
      <c r="U36" s="43"/>
      <c r="V36" s="43"/>
      <c r="W36" s="43"/>
      <c r="X36" s="43"/>
      <c r="Y36" s="43"/>
      <c r="Z36" s="43"/>
    </row>
    <row r="37">
      <c r="A37" s="45" t="s">
        <v>52</v>
      </c>
      <c r="B37" s="102" t="s">
        <v>145</v>
      </c>
      <c r="C37" s="97">
        <f t="shared" si="1"/>
        <v>391206</v>
      </c>
      <c r="D37" s="98">
        <v>34926.0</v>
      </c>
      <c r="E37" s="98">
        <v>38960.0</v>
      </c>
      <c r="F37" s="98">
        <v>317320.0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1376321</v>
      </c>
      <c r="D38" s="98">
        <v>1274823.0</v>
      </c>
      <c r="E38" s="98">
        <v>88776.0</v>
      </c>
      <c r="F38" s="98">
        <v>12722.0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3">
        <f t="shared" ref="C40:F40" si="2">sum(C3:C39)</f>
        <v>52901391</v>
      </c>
      <c r="D40" s="103">
        <f t="shared" si="2"/>
        <v>41891988</v>
      </c>
      <c r="E40" s="103">
        <f t="shared" si="2"/>
        <v>8930588</v>
      </c>
      <c r="F40" s="103">
        <f t="shared" si="2"/>
        <v>2078815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MISSOURI BOTANICAL GARDEN</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148</v>
      </c>
      <c r="B2" s="45">
        <v>1.0</v>
      </c>
      <c r="C2" s="46" t="s">
        <v>149</v>
      </c>
      <c r="D2" s="110"/>
      <c r="E2" s="111">
        <v>1955290.0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2"/>
      <c r="E3" s="111">
        <v>4985970.0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10"/>
      <c r="E4" s="111">
        <v>1.658291E7</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2"/>
      <c r="E5" s="111">
        <v>9149514.0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2"/>
      <c r="E9" s="111">
        <v>497565.0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10"/>
      <c r="E10" s="111">
        <v>719428.0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1">
        <v>2.31789292E8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1">
        <v>9.2223567E7</v>
      </c>
      <c r="E12" s="108">
        <f>D11-D12</f>
        <v>139565725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2"/>
      <c r="E13" s="111">
        <v>1.29765737E8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2"/>
      <c r="E14" s="111">
        <v>3.5457264E7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2"/>
      <c r="E17" s="111">
        <v>351282.0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3"/>
      <c r="E18" s="114">
        <f>sum(E2:E17)</f>
        <v>339030685</v>
      </c>
      <c r="F18" s="43"/>
      <c r="G18" s="43"/>
      <c r="H18" s="43"/>
      <c r="I18" s="43"/>
      <c r="J18" s="43"/>
      <c r="K18" s="43"/>
      <c r="L18" s="43"/>
      <c r="M18" s="43"/>
      <c r="N18" s="43"/>
      <c r="O18" s="43"/>
      <c r="P18" s="43"/>
      <c r="Q18" s="43"/>
      <c r="R18" s="43"/>
      <c r="S18" s="43"/>
      <c r="T18" s="43"/>
      <c r="U18" s="43"/>
      <c r="V18" s="43"/>
      <c r="W18" s="43"/>
      <c r="X18" s="43"/>
      <c r="Y18" s="43"/>
      <c r="Z18" s="43"/>
    </row>
    <row r="19">
      <c r="A19" s="44" t="s">
        <v>168</v>
      </c>
      <c r="B19" s="115">
        <v>17.0</v>
      </c>
      <c r="C19" s="116" t="s">
        <v>169</v>
      </c>
      <c r="D19" s="117"/>
      <c r="E19" s="111">
        <v>8899887.0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170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171</v>
      </c>
      <c r="D21" s="117"/>
      <c r="E21" s="111">
        <v>18510.0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177</v>
      </c>
      <c r="D27" s="117"/>
      <c r="E27" s="118">
        <v>1759407.0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178</v>
      </c>
      <c r="D28" s="125"/>
      <c r="E28" s="126">
        <f>sum(E19:E27)</f>
        <v>10677804</v>
      </c>
      <c r="F28" s="43"/>
      <c r="G28" s="43"/>
      <c r="H28" s="43"/>
      <c r="I28" s="43"/>
      <c r="J28" s="43"/>
      <c r="K28" s="43"/>
      <c r="L28" s="43"/>
      <c r="M28" s="43"/>
      <c r="N28" s="43"/>
      <c r="O28" s="43"/>
      <c r="P28" s="43"/>
      <c r="Q28" s="43"/>
      <c r="R28" s="43"/>
      <c r="S28" s="43"/>
      <c r="T28" s="43"/>
      <c r="U28" s="43"/>
      <c r="V28" s="43"/>
      <c r="W28" s="43"/>
      <c r="X28" s="43"/>
      <c r="Y28" s="43"/>
      <c r="Z28" s="43"/>
    </row>
    <row r="29">
      <c r="A29" s="64" t="s">
        <v>179</v>
      </c>
      <c r="B29" s="127"/>
      <c r="C29" s="128" t="s">
        <v>180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181</v>
      </c>
      <c r="D30" s="117"/>
      <c r="E30" s="111">
        <v>1.64551185E8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182</v>
      </c>
      <c r="D31" s="117"/>
      <c r="E31" s="111">
        <v>1.63801696E8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187</v>
      </c>
      <c r="D36" s="131"/>
      <c r="E36" s="126">
        <f>sum(E30:E35)</f>
        <v>328352881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188</v>
      </c>
      <c r="D37" s="135"/>
      <c r="E37" s="136">
        <f>E36+E28</f>
        <v>339030685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MISSOURI BOTANICAL GARDEN</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190</v>
      </c>
      <c r="C3" s="144" t="s">
        <v>191</v>
      </c>
      <c r="D3" s="145">
        <f>'Expenses 2021'!C40</f>
        <v>52901391</v>
      </c>
      <c r="E3" s="146"/>
      <c r="F3" s="43"/>
      <c r="G3" s="43"/>
      <c r="H3" s="43"/>
      <c r="I3" s="43"/>
      <c r="J3" s="43"/>
      <c r="K3" s="43"/>
      <c r="L3" s="43"/>
      <c r="M3" s="43"/>
      <c r="N3" s="43"/>
      <c r="O3" s="43"/>
      <c r="P3" s="43"/>
      <c r="Q3" s="43"/>
      <c r="R3" s="43"/>
      <c r="S3" s="43"/>
      <c r="T3" s="43"/>
      <c r="U3" s="43"/>
      <c r="V3" s="43"/>
      <c r="W3" s="43"/>
      <c r="X3" s="43"/>
      <c r="Y3" s="43"/>
    </row>
    <row r="4">
      <c r="A4" s="138"/>
      <c r="B4" s="49"/>
      <c r="C4" s="144" t="s">
        <v>192</v>
      </c>
      <c r="D4" s="145">
        <f>'Expenses 2021'!C31</f>
        <v>4503610</v>
      </c>
      <c r="E4" s="146"/>
      <c r="F4" s="43"/>
      <c r="G4" s="43"/>
      <c r="H4" s="43"/>
      <c r="I4" s="43"/>
      <c r="J4" s="43"/>
      <c r="K4" s="43"/>
      <c r="L4" s="43"/>
      <c r="M4" s="43"/>
      <c r="N4" s="43"/>
      <c r="O4" s="43"/>
      <c r="P4" s="43"/>
      <c r="Q4" s="43"/>
      <c r="R4" s="43"/>
      <c r="S4" s="43"/>
      <c r="T4" s="43"/>
      <c r="U4" s="43"/>
      <c r="V4" s="43"/>
      <c r="W4" s="43"/>
      <c r="X4" s="43"/>
      <c r="Y4" s="43"/>
    </row>
    <row r="5">
      <c r="A5" s="138"/>
      <c r="B5" s="49"/>
      <c r="C5" s="144" t="s">
        <v>193</v>
      </c>
      <c r="D5" s="145">
        <f>D3-D4</f>
        <v>48397781</v>
      </c>
      <c r="E5" s="146"/>
      <c r="F5" s="43"/>
      <c r="G5" s="43"/>
      <c r="H5" s="43"/>
      <c r="I5" s="43"/>
      <c r="J5" s="43"/>
      <c r="K5" s="43"/>
      <c r="L5" s="43"/>
      <c r="M5" s="43"/>
      <c r="N5" s="43"/>
      <c r="O5" s="43"/>
      <c r="P5" s="43"/>
      <c r="Q5" s="43"/>
      <c r="R5" s="43"/>
      <c r="S5" s="43"/>
      <c r="T5" s="43"/>
      <c r="U5" s="43"/>
      <c r="V5" s="43"/>
      <c r="W5" s="43"/>
      <c r="X5" s="43"/>
      <c r="Y5" s="43"/>
    </row>
    <row r="6">
      <c r="A6" s="138"/>
      <c r="B6" s="49"/>
      <c r="C6" s="144" t="s">
        <v>194</v>
      </c>
      <c r="D6" s="145">
        <f>D5/12</f>
        <v>4033148.417</v>
      </c>
      <c r="E6" s="146"/>
      <c r="F6" s="43"/>
      <c r="G6" s="43"/>
      <c r="H6" s="43"/>
      <c r="I6" s="43"/>
      <c r="J6" s="43"/>
      <c r="K6" s="43"/>
      <c r="L6" s="43"/>
      <c r="M6" s="43"/>
      <c r="N6" s="43"/>
      <c r="O6" s="43"/>
      <c r="P6" s="43"/>
      <c r="Q6" s="43"/>
      <c r="R6" s="43"/>
      <c r="S6" s="43"/>
      <c r="T6" s="43"/>
      <c r="U6" s="43"/>
      <c r="V6" s="43"/>
      <c r="W6" s="43"/>
      <c r="X6" s="43"/>
      <c r="Y6" s="43"/>
    </row>
    <row r="7">
      <c r="A7" s="138"/>
      <c r="B7" s="49"/>
      <c r="C7" s="144" t="s">
        <v>195</v>
      </c>
      <c r="D7" s="74">
        <f>'Balance Sheet 2021'!E2+'Balance Sheet 2021'!E3</f>
        <v>6941260</v>
      </c>
      <c r="E7" s="146"/>
      <c r="F7" s="43"/>
      <c r="G7" s="43"/>
      <c r="H7" s="43"/>
      <c r="I7" s="43"/>
      <c r="J7" s="43"/>
      <c r="K7" s="43"/>
      <c r="L7" s="43"/>
      <c r="M7" s="43"/>
      <c r="N7" s="43"/>
      <c r="O7" s="43"/>
      <c r="P7" s="43"/>
      <c r="Q7" s="43"/>
      <c r="R7" s="43"/>
      <c r="S7" s="43"/>
      <c r="T7" s="43"/>
      <c r="U7" s="43"/>
      <c r="V7" s="43"/>
      <c r="W7" s="43"/>
      <c r="X7" s="43"/>
      <c r="Y7" s="43"/>
    </row>
    <row r="8">
      <c r="A8" s="138"/>
      <c r="B8" s="49"/>
      <c r="C8" s="147" t="s">
        <v>189</v>
      </c>
      <c r="D8" s="148">
        <f>D7/D6</f>
        <v>1.721052459</v>
      </c>
      <c r="E8" s="149" t="s">
        <v>196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198</v>
      </c>
      <c r="C11" s="144" t="s">
        <v>199</v>
      </c>
      <c r="D11" s="74">
        <f>'Balance Sheet 2021'!E30</f>
        <v>164551185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200</v>
      </c>
      <c r="D12" s="74">
        <f>'Expenses 2021'!C40</f>
        <v>52901391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201</v>
      </c>
      <c r="D13" s="145">
        <f>D12/12</f>
        <v>4408449.25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197</v>
      </c>
      <c r="D14" s="148">
        <f>D11/D13</f>
        <v>37.32631945</v>
      </c>
      <c r="E14" s="149" t="s">
        <v>196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203</v>
      </c>
      <c r="C17" s="144" t="s">
        <v>204</v>
      </c>
      <c r="D17" s="74">
        <f>sum('Balance Sheet 2021'!E13:E15)</f>
        <v>165223001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200</v>
      </c>
      <c r="D18" s="74">
        <f>'Expenses 2021'!C40</f>
        <v>52901391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201</v>
      </c>
      <c r="D19" s="145">
        <f>D18/12</f>
        <v>4408449.25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205</v>
      </c>
      <c r="D20" s="148">
        <f>D17/D19</f>
        <v>37.47871227</v>
      </c>
      <c r="E20" s="149" t="s">
        <v>196</v>
      </c>
      <c r="F20" s="43"/>
      <c r="G20" s="43"/>
      <c r="H20" s="43"/>
      <c r="I20" s="43"/>
      <c r="J20" s="43"/>
      <c r="K20" s="43"/>
      <c r="L20" s="43"/>
      <c r="M20" s="43"/>
      <c r="N20" s="43"/>
      <c r="O20" s="43"/>
      <c r="P20" s="43"/>
      <c r="Q20" s="43"/>
      <c r="R20" s="43"/>
      <c r="S20" s="43"/>
      <c r="T20" s="43"/>
      <c r="U20" s="43"/>
      <c r="V20" s="43"/>
      <c r="W20" s="43"/>
      <c r="X20" s="43"/>
      <c r="Y20" s="43"/>
    </row>
    <row r="21">
      <c r="A21" s="138"/>
      <c r="B21" s="49"/>
      <c r="C21" s="153" t="s">
        <v>206</v>
      </c>
      <c r="D21" s="154">
        <f>D20+D8</f>
        <v>39.19976473</v>
      </c>
      <c r="E21" s="155" t="s">
        <v>196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208</v>
      </c>
      <c r="C24" s="159"/>
      <c r="D24" s="160">
        <f>max('Revenues 2021'!E2:E7,'Revenues 2021'!F10:F15)</f>
        <v>41112314</v>
      </c>
      <c r="E24" s="161" t="s">
        <v>209</v>
      </c>
      <c r="F24" s="43"/>
      <c r="G24" s="43"/>
      <c r="H24" s="43"/>
      <c r="I24" s="43"/>
      <c r="J24" s="43"/>
      <c r="K24" s="43"/>
      <c r="L24" s="43"/>
      <c r="M24" s="43"/>
      <c r="N24" s="43"/>
      <c r="O24" s="43"/>
      <c r="P24" s="43"/>
      <c r="Q24" s="43"/>
      <c r="R24" s="43"/>
      <c r="S24" s="43"/>
      <c r="T24" s="43"/>
      <c r="U24" s="43"/>
      <c r="V24" s="43"/>
      <c r="W24" s="43"/>
      <c r="X24" s="43"/>
      <c r="Y24" s="43"/>
    </row>
    <row r="25">
      <c r="A25" s="138"/>
      <c r="B25" s="49"/>
      <c r="C25" s="144" t="s">
        <v>210</v>
      </c>
      <c r="D25" s="145">
        <f>'Revenues 2021'!F44</f>
        <v>58454514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207</v>
      </c>
      <c r="D26" s="162">
        <f>D24/D25</f>
        <v>0.7033214578</v>
      </c>
      <c r="E26" s="149" t="s">
        <v>211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213</v>
      </c>
      <c r="C29" s="144" t="s">
        <v>214</v>
      </c>
      <c r="D29" s="74">
        <f>SUM('Expenses 2021'!C7:C9)</f>
        <v>22233139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215</v>
      </c>
      <c r="D30" s="74">
        <f>SUM('Expenses 2021'!C10:C12)</f>
        <v>5533977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216</v>
      </c>
      <c r="D31" s="74">
        <f>sum(D29:D30)</f>
        <v>27767116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191</v>
      </c>
      <c r="D32" s="74">
        <f>'Expenses 2021'!C40</f>
        <v>52901391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217</v>
      </c>
      <c r="D33" s="162">
        <f>D31/D32</f>
        <v>0.5248844213</v>
      </c>
      <c r="E33" s="149" t="s">
        <v>218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220</v>
      </c>
      <c r="C36" s="144" t="s">
        <v>221</v>
      </c>
      <c r="D36" s="74">
        <f>SUM('Expenses 2021'!C10:C11)</f>
        <v>3965921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214</v>
      </c>
      <c r="D37" s="74">
        <f>SUM('Expenses 2021'!C7:C9)</f>
        <v>22233139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219</v>
      </c>
      <c r="D38" s="162">
        <f>D36/D37</f>
        <v>0.1783788155</v>
      </c>
      <c r="E38" s="149" t="s">
        <v>222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224</v>
      </c>
      <c r="C41" s="147" t="s">
        <v>225</v>
      </c>
      <c r="D41" s="74">
        <f>'Expenses 2021'!D40</f>
        <v>41891988</v>
      </c>
      <c r="E41" s="164">
        <f t="shared" ref="E41:E44" si="1">D41/$D$44</f>
        <v>0.7918882133</v>
      </c>
      <c r="F41" s="43"/>
      <c r="G41" s="43"/>
      <c r="H41" s="43"/>
      <c r="I41" s="43"/>
      <c r="J41" s="43"/>
      <c r="K41" s="43"/>
      <c r="L41" s="43"/>
      <c r="M41" s="43"/>
      <c r="N41" s="43"/>
      <c r="O41" s="43"/>
      <c r="P41" s="43"/>
      <c r="Q41" s="43"/>
      <c r="R41" s="43"/>
      <c r="S41" s="43"/>
      <c r="T41" s="43"/>
      <c r="U41" s="43"/>
      <c r="V41" s="43"/>
      <c r="W41" s="43"/>
      <c r="X41" s="43"/>
      <c r="Y41" s="43"/>
    </row>
    <row r="42">
      <c r="A42" s="138"/>
      <c r="B42" s="49"/>
      <c r="C42" s="147" t="s">
        <v>226</v>
      </c>
      <c r="D42" s="145">
        <f>'Expenses 2021'!E40</f>
        <v>8930588</v>
      </c>
      <c r="E42" s="164">
        <f t="shared" si="1"/>
        <v>0.16881575</v>
      </c>
      <c r="F42" s="43"/>
      <c r="G42" s="43"/>
      <c r="H42" s="43"/>
      <c r="I42" s="43"/>
      <c r="J42" s="43"/>
      <c r="K42" s="43"/>
      <c r="L42" s="43"/>
      <c r="M42" s="43"/>
      <c r="N42" s="43"/>
      <c r="O42" s="43"/>
      <c r="P42" s="43"/>
      <c r="Q42" s="43"/>
      <c r="R42" s="43"/>
      <c r="S42" s="43"/>
      <c r="T42" s="43"/>
      <c r="U42" s="43"/>
      <c r="V42" s="43"/>
      <c r="W42" s="43"/>
      <c r="X42" s="43"/>
      <c r="Y42" s="43"/>
    </row>
    <row r="43">
      <c r="A43" s="138"/>
      <c r="B43" s="49"/>
      <c r="C43" s="147" t="s">
        <v>227</v>
      </c>
      <c r="D43" s="145">
        <f>'Expenses 2021'!F40</f>
        <v>2078815</v>
      </c>
      <c r="E43" s="164">
        <f t="shared" si="1"/>
        <v>0.03929603666</v>
      </c>
      <c r="F43" s="43"/>
      <c r="G43" s="43"/>
      <c r="H43" s="43"/>
      <c r="I43" s="43"/>
      <c r="J43" s="43"/>
      <c r="K43" s="43"/>
      <c r="L43" s="43"/>
      <c r="M43" s="43"/>
      <c r="N43" s="43"/>
      <c r="O43" s="43"/>
      <c r="P43" s="43"/>
      <c r="Q43" s="43"/>
      <c r="R43" s="43"/>
      <c r="S43" s="43"/>
      <c r="T43" s="43"/>
      <c r="U43" s="43"/>
      <c r="V43" s="43"/>
      <c r="W43" s="43"/>
      <c r="X43" s="43"/>
      <c r="Y43" s="43"/>
    </row>
    <row r="44">
      <c r="A44" s="138"/>
      <c r="B44" s="49"/>
      <c r="C44" s="144" t="s">
        <v>191</v>
      </c>
      <c r="D44" s="145">
        <f>sum(D41:D43)</f>
        <v>52901391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229</v>
      </c>
      <c r="C47" s="144" t="s">
        <v>230</v>
      </c>
      <c r="D47" s="145">
        <f>'Revenues 2021'!F9</f>
        <v>47551302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231</v>
      </c>
      <c r="D48" s="145">
        <f>'Expenses 2021'!F40</f>
        <v>2078815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232</v>
      </c>
      <c r="D49" s="165">
        <f>D47/D48</f>
        <v>22.8742346</v>
      </c>
      <c r="E49" s="149" t="s">
        <v>233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235</v>
      </c>
      <c r="C52" s="144" t="s">
        <v>236</v>
      </c>
      <c r="D52" s="145">
        <f>sum('Balance Sheet 2021'!E2:E10)</f>
        <v>33890677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237</v>
      </c>
      <c r="D53" s="145">
        <f>sum('Balance Sheet 2021'!E19:E22)</f>
        <v>8918397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238</v>
      </c>
      <c r="D54" s="167">
        <f>D52/D53</f>
        <v>3.800086159</v>
      </c>
      <c r="E54" s="149" t="s">
        <v>239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240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241</v>
      </c>
      <c r="C57" s="144" t="s">
        <v>242</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243</v>
      </c>
      <c r="D58" s="145">
        <f>'Balance Sheet 2021'!E18</f>
        <v>339030685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244</v>
      </c>
      <c r="D59" s="168">
        <f>D57/D58</f>
        <v>0</v>
      </c>
      <c r="E59" s="149" t="s">
        <v>245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MISSOURI BOTANICAL GARDEN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4949495.0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402877.0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2059416.0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3.2153162E7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1892499.0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39564950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8683643.0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483473.0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335776.0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246</v>
      </c>
      <c r="D13" s="61"/>
      <c r="E13" s="61"/>
      <c r="F13" s="62">
        <v>246469.0</v>
      </c>
      <c r="G13" s="171"/>
      <c r="H13" s="43"/>
      <c r="J13" s="171"/>
      <c r="K13" s="43"/>
      <c r="L13" s="43"/>
      <c r="M13" s="43"/>
      <c r="N13" s="43"/>
      <c r="O13" s="43"/>
      <c r="P13" s="43"/>
      <c r="Q13" s="43"/>
      <c r="R13" s="43"/>
      <c r="S13" s="43"/>
      <c r="T13" s="43"/>
      <c r="U13" s="43"/>
      <c r="V13" s="43"/>
      <c r="W13" s="43"/>
      <c r="X13" s="43"/>
      <c r="Y13" s="43"/>
      <c r="Z13" s="43"/>
    </row>
    <row r="14">
      <c r="A14" s="49"/>
      <c r="B14" s="45" t="s">
        <v>54</v>
      </c>
      <c r="C14" s="173" t="s">
        <v>247</v>
      </c>
      <c r="D14" s="61"/>
      <c r="E14" s="61"/>
      <c r="F14" s="62">
        <v>236406.0</v>
      </c>
      <c r="G14" s="171"/>
      <c r="H14" s="43"/>
      <c r="J14" s="171"/>
      <c r="K14" s="43"/>
      <c r="L14" s="43"/>
      <c r="M14" s="43"/>
      <c r="N14" s="43"/>
      <c r="O14" s="43"/>
      <c r="P14" s="43"/>
      <c r="Q14" s="43"/>
      <c r="R14" s="43"/>
      <c r="S14" s="43"/>
      <c r="T14" s="43"/>
      <c r="U14" s="43"/>
      <c r="V14" s="43"/>
      <c r="W14" s="43"/>
      <c r="X14" s="43"/>
      <c r="Y14" s="43"/>
      <c r="Z14" s="43"/>
    </row>
    <row r="15">
      <c r="A15" s="52"/>
      <c r="B15" s="45" t="s">
        <v>56</v>
      </c>
      <c r="C15" s="173" t="s">
        <v>69</v>
      </c>
      <c r="D15" s="61"/>
      <c r="E15" s="61"/>
      <c r="F15" s="62">
        <v>329899.0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10315666</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1806163.0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116044.0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116044</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116044</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248</v>
      </c>
      <c r="D26" s="50">
        <v>1.7638631E7</v>
      </c>
      <c r="E26" s="50">
        <v>3000.0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1.6571821E7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1066810</v>
      </c>
      <c r="E28" s="74">
        <f t="shared" si="2"/>
        <v>3000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1069810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251655.0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281486.0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-29831</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3184111.0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1456352.0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1727759</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103</v>
      </c>
      <c r="D39" s="73"/>
      <c r="E39" s="48">
        <v>538966.0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3"/>
      <c r="E40" s="48">
        <v>212100.0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104</v>
      </c>
      <c r="D41" s="73"/>
      <c r="E41" s="48">
        <v>99164.0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105</v>
      </c>
      <c r="D42" s="73"/>
      <c r="E42" s="48">
        <v>92391.0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942621</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106</v>
      </c>
      <c r="D44" s="87"/>
      <c r="E44" s="87"/>
      <c r="F44" s="88">
        <f>sum(F16:F43)+F9</f>
        <v>55513182</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MISSOURI BOTANICAL GARDEN</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107</v>
      </c>
      <c r="D2" s="42" t="s">
        <v>108</v>
      </c>
      <c r="E2" s="42" t="s">
        <v>109</v>
      </c>
      <c r="F2" s="42" t="s">
        <v>110</v>
      </c>
      <c r="G2" s="43"/>
      <c r="H2" s="43"/>
      <c r="I2" s="43"/>
      <c r="J2" s="43"/>
      <c r="K2" s="43"/>
      <c r="L2" s="43"/>
      <c r="M2" s="43"/>
      <c r="N2" s="43"/>
      <c r="O2" s="43"/>
      <c r="P2" s="43"/>
      <c r="Q2" s="43"/>
      <c r="R2" s="43"/>
      <c r="S2" s="43"/>
      <c r="T2" s="43"/>
      <c r="U2" s="43"/>
      <c r="V2" s="43"/>
      <c r="W2" s="43"/>
      <c r="X2" s="43"/>
      <c r="Y2" s="43"/>
      <c r="Z2" s="43"/>
    </row>
    <row r="3">
      <c r="A3" s="79">
        <v>1.0</v>
      </c>
      <c r="B3" s="95" t="s">
        <v>111</v>
      </c>
      <c r="C3" s="97">
        <f t="shared" ref="C3:C39" si="1">sum(D3:F3)</f>
        <v>188202</v>
      </c>
      <c r="D3" s="98">
        <v>188202.0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112</v>
      </c>
      <c r="C4" s="97">
        <f t="shared" si="1"/>
        <v>634903</v>
      </c>
      <c r="D4" s="98">
        <v>634903.0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113</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114</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115</v>
      </c>
      <c r="C7" s="97">
        <f t="shared" si="1"/>
        <v>3048204</v>
      </c>
      <c r="D7" s="98">
        <v>2406552.0</v>
      </c>
      <c r="E7" s="98">
        <v>511225.0</v>
      </c>
      <c r="F7" s="98">
        <v>130427.0</v>
      </c>
      <c r="G7" s="43"/>
      <c r="H7" s="43"/>
      <c r="I7" s="43"/>
      <c r="J7" s="43"/>
      <c r="K7" s="43"/>
      <c r="L7" s="43"/>
      <c r="M7" s="43"/>
      <c r="N7" s="43"/>
      <c r="O7" s="43"/>
      <c r="P7" s="43"/>
      <c r="Q7" s="43"/>
      <c r="R7" s="43"/>
      <c r="S7" s="43"/>
      <c r="T7" s="43"/>
      <c r="U7" s="43"/>
      <c r="V7" s="43"/>
      <c r="W7" s="43"/>
      <c r="X7" s="43"/>
      <c r="Y7" s="43"/>
      <c r="Z7" s="43"/>
    </row>
    <row r="8">
      <c r="A8" s="79">
        <v>6.0</v>
      </c>
      <c r="B8" s="95" t="s">
        <v>116</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117</v>
      </c>
      <c r="C9" s="97">
        <f t="shared" si="1"/>
        <v>20951877</v>
      </c>
      <c r="D9" s="98">
        <v>1.6407823E7</v>
      </c>
      <c r="E9" s="98">
        <v>3620397.0</v>
      </c>
      <c r="F9" s="98">
        <v>923657.0</v>
      </c>
      <c r="G9" s="43"/>
      <c r="H9" s="43"/>
      <c r="I9" s="43"/>
      <c r="J9" s="43"/>
      <c r="K9" s="43"/>
      <c r="L9" s="43"/>
      <c r="M9" s="43"/>
      <c r="N9" s="43"/>
      <c r="O9" s="43"/>
      <c r="P9" s="43"/>
      <c r="Q9" s="43"/>
      <c r="R9" s="43"/>
      <c r="S9" s="43"/>
      <c r="T9" s="43"/>
      <c r="U9" s="43"/>
      <c r="V9" s="43"/>
      <c r="W9" s="43"/>
      <c r="X9" s="43"/>
      <c r="Y9" s="43"/>
      <c r="Z9" s="43"/>
    </row>
    <row r="10">
      <c r="A10" s="79">
        <v>8.0</v>
      </c>
      <c r="B10" s="95" t="s">
        <v>118</v>
      </c>
      <c r="C10" s="97">
        <f t="shared" si="1"/>
        <v>1115351</v>
      </c>
      <c r="D10" s="98">
        <v>909054.0</v>
      </c>
      <c r="E10" s="98">
        <v>163458.0</v>
      </c>
      <c r="F10" s="98">
        <v>42839.0</v>
      </c>
      <c r="G10" s="43"/>
      <c r="H10" s="43"/>
      <c r="I10" s="43"/>
      <c r="J10" s="43"/>
      <c r="K10" s="43"/>
      <c r="L10" s="43"/>
      <c r="M10" s="43"/>
      <c r="N10" s="43"/>
      <c r="O10" s="43"/>
      <c r="P10" s="43"/>
      <c r="Q10" s="43"/>
      <c r="R10" s="43"/>
      <c r="S10" s="43"/>
      <c r="T10" s="43"/>
      <c r="U10" s="43"/>
      <c r="V10" s="43"/>
      <c r="W10" s="43"/>
      <c r="X10" s="43"/>
      <c r="Y10" s="43"/>
      <c r="Z10" s="43"/>
    </row>
    <row r="11">
      <c r="A11" s="45">
        <v>9.0</v>
      </c>
      <c r="B11" s="46" t="s">
        <v>119</v>
      </c>
      <c r="C11" s="97">
        <f t="shared" si="1"/>
        <v>2772826</v>
      </c>
      <c r="D11" s="98">
        <v>2458860.0</v>
      </c>
      <c r="E11" s="98">
        <v>231837.0</v>
      </c>
      <c r="F11" s="98">
        <v>82129.0</v>
      </c>
      <c r="G11" s="43"/>
      <c r="H11" s="43"/>
      <c r="I11" s="43"/>
      <c r="J11" s="43"/>
      <c r="K11" s="43"/>
      <c r="L11" s="43"/>
      <c r="M11" s="43"/>
      <c r="N11" s="43"/>
      <c r="O11" s="43"/>
      <c r="P11" s="43"/>
      <c r="Q11" s="43"/>
      <c r="R11" s="43"/>
      <c r="S11" s="43"/>
      <c r="T11" s="43"/>
      <c r="U11" s="43"/>
      <c r="V11" s="43"/>
      <c r="W11" s="43"/>
      <c r="X11" s="43"/>
      <c r="Y11" s="43"/>
      <c r="Z11" s="43"/>
    </row>
    <row r="12">
      <c r="A12" s="45">
        <v>10.0</v>
      </c>
      <c r="B12" s="46" t="s">
        <v>120</v>
      </c>
      <c r="C12" s="97">
        <f t="shared" si="1"/>
        <v>1759085</v>
      </c>
      <c r="D12" s="98">
        <v>1415436.0</v>
      </c>
      <c r="E12" s="98">
        <v>279965.0</v>
      </c>
      <c r="F12" s="98">
        <v>63684.0</v>
      </c>
      <c r="G12" s="43"/>
      <c r="H12" s="43"/>
      <c r="I12" s="43"/>
      <c r="J12" s="43"/>
      <c r="K12" s="43"/>
      <c r="L12" s="43"/>
      <c r="M12" s="43"/>
      <c r="N12" s="43"/>
      <c r="O12" s="43"/>
      <c r="P12" s="43"/>
      <c r="Q12" s="43"/>
      <c r="R12" s="43"/>
      <c r="S12" s="43"/>
      <c r="T12" s="43"/>
      <c r="U12" s="43"/>
      <c r="V12" s="43"/>
      <c r="W12" s="43"/>
      <c r="X12" s="43"/>
      <c r="Y12" s="43"/>
      <c r="Z12" s="43"/>
    </row>
    <row r="13">
      <c r="A13" s="45">
        <v>11.0</v>
      </c>
      <c r="B13" s="46" t="s">
        <v>121</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122</v>
      </c>
      <c r="B14" s="46" t="s">
        <v>123</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124</v>
      </c>
      <c r="C15" s="97">
        <f t="shared" si="1"/>
        <v>87520</v>
      </c>
      <c r="D15" s="98">
        <v>0.0</v>
      </c>
      <c r="E15" s="98">
        <v>87520.0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125</v>
      </c>
      <c r="C16" s="97">
        <f t="shared" si="1"/>
        <v>104983</v>
      </c>
      <c r="D16" s="98">
        <v>0.0</v>
      </c>
      <c r="E16" s="98">
        <v>104983.0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126</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127</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128</v>
      </c>
      <c r="C19" s="97">
        <f t="shared" si="1"/>
        <v>78450</v>
      </c>
      <c r="D19" s="98">
        <v>0.0</v>
      </c>
      <c r="E19" s="98">
        <v>78450.0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129</v>
      </c>
      <c r="C20" s="97">
        <f t="shared" si="1"/>
        <v>6921476</v>
      </c>
      <c r="D20" s="98">
        <v>5216766.0</v>
      </c>
      <c r="E20" s="98">
        <v>1463578.0</v>
      </c>
      <c r="F20" s="98">
        <v>241132.0</v>
      </c>
      <c r="G20" s="43"/>
      <c r="H20" s="43"/>
      <c r="I20" s="43"/>
      <c r="J20" s="43"/>
      <c r="K20" s="43"/>
      <c r="L20" s="43"/>
      <c r="M20" s="43"/>
      <c r="N20" s="43"/>
      <c r="O20" s="43"/>
      <c r="P20" s="43"/>
      <c r="Q20" s="43"/>
      <c r="R20" s="43"/>
      <c r="S20" s="43"/>
      <c r="T20" s="43"/>
      <c r="U20" s="43"/>
      <c r="V20" s="43"/>
      <c r="W20" s="43"/>
      <c r="X20" s="43"/>
      <c r="Y20" s="43"/>
      <c r="Z20" s="43"/>
    </row>
    <row r="21">
      <c r="A21" s="45">
        <v>12.0</v>
      </c>
      <c r="B21" s="46" t="s">
        <v>130</v>
      </c>
      <c r="C21" s="97">
        <f t="shared" si="1"/>
        <v>473990</v>
      </c>
      <c r="D21" s="98">
        <v>6082.0</v>
      </c>
      <c r="E21" s="98">
        <v>448981.0</v>
      </c>
      <c r="F21" s="98">
        <v>18927.0</v>
      </c>
      <c r="G21" s="43"/>
      <c r="H21" s="43"/>
      <c r="I21" s="43"/>
      <c r="J21" s="43"/>
      <c r="K21" s="43"/>
      <c r="L21" s="43"/>
      <c r="M21" s="43"/>
      <c r="N21" s="43"/>
      <c r="O21" s="43"/>
      <c r="P21" s="43"/>
      <c r="Q21" s="43"/>
      <c r="R21" s="43"/>
      <c r="S21" s="43"/>
      <c r="T21" s="43"/>
      <c r="U21" s="43"/>
      <c r="V21" s="43"/>
      <c r="W21" s="43"/>
      <c r="X21" s="43"/>
      <c r="Y21" s="43"/>
      <c r="Z21" s="43"/>
    </row>
    <row r="22">
      <c r="A22" s="45">
        <v>13.0</v>
      </c>
      <c r="B22" s="46" t="s">
        <v>131</v>
      </c>
      <c r="C22" s="97">
        <f t="shared" si="1"/>
        <v>4145517</v>
      </c>
      <c r="D22" s="98">
        <v>3002643.0</v>
      </c>
      <c r="E22" s="98">
        <v>971470.0</v>
      </c>
      <c r="F22" s="98">
        <v>171404.0</v>
      </c>
      <c r="G22" s="43"/>
      <c r="H22" s="43"/>
      <c r="I22" s="43"/>
      <c r="J22" s="43"/>
      <c r="K22" s="43"/>
      <c r="L22" s="43"/>
      <c r="M22" s="43"/>
      <c r="N22" s="43"/>
      <c r="O22" s="43"/>
      <c r="P22" s="43"/>
      <c r="Q22" s="43"/>
      <c r="R22" s="43"/>
      <c r="S22" s="43"/>
      <c r="T22" s="43"/>
      <c r="U22" s="43"/>
      <c r="V22" s="43"/>
      <c r="W22" s="43"/>
      <c r="X22" s="43"/>
      <c r="Y22" s="43"/>
      <c r="Z22" s="43"/>
    </row>
    <row r="23">
      <c r="A23" s="45">
        <v>14.0</v>
      </c>
      <c r="B23" s="46" t="s">
        <v>132</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133</v>
      </c>
      <c r="C25" s="97">
        <f t="shared" si="1"/>
        <v>1604411</v>
      </c>
      <c r="D25" s="98">
        <v>1433053.0</v>
      </c>
      <c r="E25" s="98">
        <v>147766.0</v>
      </c>
      <c r="F25" s="98">
        <v>23592.0</v>
      </c>
      <c r="G25" s="43"/>
      <c r="H25" s="43"/>
      <c r="I25" s="43"/>
      <c r="J25" s="43"/>
      <c r="K25" s="43"/>
      <c r="L25" s="43"/>
      <c r="M25" s="43"/>
      <c r="N25" s="43"/>
      <c r="O25" s="43"/>
      <c r="P25" s="43"/>
      <c r="Q25" s="43"/>
      <c r="R25" s="43"/>
      <c r="S25" s="43"/>
      <c r="T25" s="43"/>
      <c r="U25" s="43"/>
      <c r="V25" s="43"/>
      <c r="W25" s="43"/>
      <c r="X25" s="43"/>
      <c r="Y25" s="43"/>
      <c r="Z25" s="43"/>
    </row>
    <row r="26">
      <c r="A26" s="45">
        <v>17.0</v>
      </c>
      <c r="B26" s="46" t="s">
        <v>134</v>
      </c>
      <c r="C26" s="97">
        <f t="shared" si="1"/>
        <v>889567</v>
      </c>
      <c r="D26" s="98">
        <v>859824.0</v>
      </c>
      <c r="E26" s="98">
        <v>24257.0</v>
      </c>
      <c r="F26" s="98">
        <v>5486.0</v>
      </c>
      <c r="G26" s="43"/>
      <c r="H26" s="43"/>
      <c r="I26" s="43"/>
      <c r="J26" s="43"/>
      <c r="K26" s="43"/>
      <c r="L26" s="43"/>
      <c r="M26" s="43"/>
      <c r="N26" s="43"/>
      <c r="O26" s="43"/>
      <c r="P26" s="43"/>
      <c r="Q26" s="43"/>
      <c r="R26" s="43"/>
      <c r="S26" s="43"/>
      <c r="T26" s="43"/>
      <c r="U26" s="43"/>
      <c r="V26" s="43"/>
      <c r="W26" s="43"/>
      <c r="X26" s="43"/>
      <c r="Y26" s="43"/>
      <c r="Z26" s="43"/>
    </row>
    <row r="27">
      <c r="A27" s="79">
        <v>18.0</v>
      </c>
      <c r="B27" s="95" t="s">
        <v>135</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136</v>
      </c>
      <c r="C28" s="97">
        <f t="shared" si="1"/>
        <v>56881</v>
      </c>
      <c r="D28" s="98">
        <v>16526.0</v>
      </c>
      <c r="E28" s="98">
        <v>40352.0</v>
      </c>
      <c r="F28" s="98">
        <v>3.0</v>
      </c>
      <c r="G28" s="43"/>
      <c r="H28" s="43"/>
      <c r="I28" s="43"/>
      <c r="J28" s="43"/>
      <c r="K28" s="43"/>
      <c r="L28" s="43"/>
      <c r="M28" s="43"/>
      <c r="N28" s="43"/>
      <c r="O28" s="43"/>
      <c r="P28" s="43"/>
      <c r="Q28" s="43"/>
      <c r="R28" s="43"/>
      <c r="S28" s="43"/>
      <c r="T28" s="43"/>
      <c r="U28" s="43"/>
      <c r="V28" s="43"/>
      <c r="W28" s="43"/>
      <c r="X28" s="43"/>
      <c r="Y28" s="43"/>
      <c r="Z28" s="43"/>
    </row>
    <row r="29">
      <c r="A29" s="45">
        <v>20.0</v>
      </c>
      <c r="B29" s="46" t="s">
        <v>137</v>
      </c>
      <c r="C29" s="97">
        <f t="shared" si="1"/>
        <v>171</v>
      </c>
      <c r="D29" s="98">
        <v>138.0</v>
      </c>
      <c r="E29" s="98">
        <v>32.0</v>
      </c>
      <c r="F29" s="98">
        <v>1.0</v>
      </c>
      <c r="G29" s="43"/>
      <c r="H29" s="43"/>
      <c r="I29" s="43"/>
      <c r="J29" s="43"/>
      <c r="K29" s="43"/>
      <c r="L29" s="43"/>
      <c r="M29" s="43"/>
      <c r="N29" s="43"/>
      <c r="O29" s="43"/>
      <c r="P29" s="43"/>
      <c r="Q29" s="43"/>
      <c r="R29" s="43"/>
      <c r="S29" s="43"/>
      <c r="T29" s="43"/>
      <c r="U29" s="43"/>
      <c r="V29" s="43"/>
      <c r="W29" s="43"/>
      <c r="X29" s="43"/>
      <c r="Y29" s="43"/>
      <c r="Z29" s="43"/>
    </row>
    <row r="30">
      <c r="A30" s="45">
        <v>21.0</v>
      </c>
      <c r="B30" s="46" t="s">
        <v>138</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139</v>
      </c>
      <c r="C31" s="97">
        <f t="shared" si="1"/>
        <v>5887585</v>
      </c>
      <c r="D31" s="98">
        <v>5435015.0</v>
      </c>
      <c r="E31" s="98">
        <v>394095.0</v>
      </c>
      <c r="F31" s="98">
        <v>58475.0</v>
      </c>
      <c r="G31" s="43"/>
      <c r="H31" s="43"/>
      <c r="I31" s="43"/>
      <c r="J31" s="43"/>
      <c r="K31" s="43"/>
      <c r="L31" s="43"/>
      <c r="M31" s="43"/>
      <c r="N31" s="43"/>
      <c r="O31" s="43"/>
      <c r="P31" s="43"/>
      <c r="Q31" s="43"/>
      <c r="R31" s="43"/>
      <c r="S31" s="43"/>
      <c r="T31" s="43"/>
      <c r="U31" s="43"/>
      <c r="V31" s="43"/>
      <c r="W31" s="43"/>
      <c r="X31" s="43"/>
      <c r="Y31" s="43"/>
      <c r="Z31" s="43"/>
    </row>
    <row r="32">
      <c r="A32" s="45">
        <v>23.0</v>
      </c>
      <c r="B32" s="46" t="s">
        <v>140</v>
      </c>
      <c r="C32" s="97">
        <f t="shared" si="1"/>
        <v>1292403</v>
      </c>
      <c r="D32" s="98">
        <v>545717.0</v>
      </c>
      <c r="E32" s="98">
        <v>730844.0</v>
      </c>
      <c r="F32" s="98">
        <v>15842.0</v>
      </c>
      <c r="G32" s="43"/>
      <c r="H32" s="43"/>
      <c r="I32" s="43"/>
      <c r="J32" s="43"/>
      <c r="K32" s="43"/>
      <c r="L32" s="43"/>
      <c r="M32" s="43"/>
      <c r="N32" s="43"/>
      <c r="O32" s="43"/>
      <c r="P32" s="43"/>
      <c r="Q32" s="43"/>
      <c r="R32" s="43"/>
      <c r="S32" s="43"/>
      <c r="T32" s="43"/>
      <c r="U32" s="43"/>
      <c r="V32" s="43"/>
      <c r="W32" s="43"/>
      <c r="X32" s="43"/>
      <c r="Y32" s="43"/>
      <c r="Z32" s="43"/>
    </row>
    <row r="33">
      <c r="A33" s="45">
        <v>24.0</v>
      </c>
      <c r="B33" s="46" t="s">
        <v>141</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122</v>
      </c>
      <c r="B34" s="60" t="s">
        <v>102</v>
      </c>
      <c r="C34" s="97">
        <f t="shared" si="1"/>
        <v>1206646</v>
      </c>
      <c r="D34" s="98">
        <v>487445.0</v>
      </c>
      <c r="E34" s="98">
        <v>714763.0</v>
      </c>
      <c r="F34" s="98">
        <v>4438.0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7">
        <f t="shared" si="1"/>
        <v>1044906</v>
      </c>
      <c r="D35" s="98">
        <v>1034565.0</v>
      </c>
      <c r="E35" s="98">
        <v>3100.0</v>
      </c>
      <c r="F35" s="98">
        <v>7241.0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7">
        <f t="shared" si="1"/>
        <v>939060</v>
      </c>
      <c r="D36" s="98">
        <v>887977.0</v>
      </c>
      <c r="E36" s="98">
        <v>41005.0</v>
      </c>
      <c r="F36" s="98">
        <v>10078.0</v>
      </c>
      <c r="G36" s="43"/>
      <c r="H36" s="43"/>
      <c r="I36" s="43"/>
      <c r="J36" s="43"/>
      <c r="K36" s="43"/>
      <c r="L36" s="43"/>
      <c r="M36" s="43"/>
      <c r="N36" s="43"/>
      <c r="O36" s="43"/>
      <c r="P36" s="43"/>
      <c r="Q36" s="43"/>
      <c r="R36" s="43"/>
      <c r="S36" s="43"/>
      <c r="T36" s="43"/>
      <c r="U36" s="43"/>
      <c r="V36" s="43"/>
      <c r="W36" s="43"/>
      <c r="X36" s="43"/>
      <c r="Y36" s="43"/>
      <c r="Z36" s="43"/>
    </row>
    <row r="37">
      <c r="A37" s="45" t="s">
        <v>52</v>
      </c>
      <c r="B37" s="60" t="s">
        <v>145</v>
      </c>
      <c r="C37" s="97">
        <f t="shared" si="1"/>
        <v>576137</v>
      </c>
      <c r="D37" s="98">
        <v>82298.0</v>
      </c>
      <c r="E37" s="98">
        <v>45427.0</v>
      </c>
      <c r="F37" s="98">
        <v>448412.0</v>
      </c>
      <c r="G37" s="43"/>
      <c r="H37" s="43"/>
      <c r="I37" s="43"/>
      <c r="J37" s="43"/>
      <c r="K37" s="43"/>
      <c r="L37" s="43"/>
      <c r="M37" s="43"/>
      <c r="N37" s="43"/>
      <c r="O37" s="43"/>
      <c r="P37" s="43"/>
      <c r="Q37" s="43"/>
      <c r="R37" s="43"/>
      <c r="S37" s="43"/>
      <c r="T37" s="43"/>
      <c r="U37" s="43"/>
      <c r="V37" s="43"/>
      <c r="W37" s="43"/>
      <c r="X37" s="43"/>
      <c r="Y37" s="43"/>
      <c r="Z37" s="43"/>
    </row>
    <row r="38">
      <c r="A38" s="45" t="s">
        <v>54</v>
      </c>
      <c r="B38" s="46" t="s">
        <v>146</v>
      </c>
      <c r="C38" s="97">
        <f t="shared" si="1"/>
        <v>1389907</v>
      </c>
      <c r="D38" s="98">
        <v>1263521.0</v>
      </c>
      <c r="E38" s="98">
        <v>98619.0</v>
      </c>
      <c r="F38" s="98">
        <v>27767.0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147</v>
      </c>
      <c r="C40" s="103">
        <f t="shared" ref="C40:F40" si="2">sum(C3:C39)</f>
        <v>57170058</v>
      </c>
      <c r="D40" s="103">
        <f t="shared" si="2"/>
        <v>44692400</v>
      </c>
      <c r="E40" s="103">
        <f t="shared" si="2"/>
        <v>10202124</v>
      </c>
      <c r="F40" s="103">
        <f t="shared" si="2"/>
        <v>2275534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MISSOURI BOTANICAL GARDEN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148</v>
      </c>
      <c r="B2" s="45">
        <v>1.0</v>
      </c>
      <c r="C2" s="46" t="s">
        <v>149</v>
      </c>
      <c r="D2" s="110"/>
      <c r="E2" s="111">
        <v>1912091.0</v>
      </c>
      <c r="F2" s="43"/>
      <c r="G2" s="43"/>
      <c r="H2" s="43"/>
      <c r="I2" s="43"/>
      <c r="J2" s="43"/>
      <c r="K2" s="43"/>
      <c r="L2" s="43"/>
      <c r="M2" s="43"/>
      <c r="N2" s="43"/>
      <c r="O2" s="43"/>
      <c r="P2" s="43"/>
      <c r="Q2" s="43"/>
      <c r="R2" s="43"/>
      <c r="S2" s="43"/>
      <c r="T2" s="43"/>
      <c r="U2" s="43"/>
      <c r="V2" s="43"/>
      <c r="W2" s="43"/>
      <c r="X2" s="43"/>
      <c r="Y2" s="43"/>
      <c r="Z2" s="43"/>
    </row>
    <row r="3">
      <c r="A3" s="49"/>
      <c r="B3" s="45">
        <v>2.0</v>
      </c>
      <c r="C3" s="46" t="s">
        <v>150</v>
      </c>
      <c r="D3" s="112"/>
      <c r="E3" s="111">
        <v>2480770.0</v>
      </c>
      <c r="F3" s="43"/>
      <c r="G3" s="43"/>
      <c r="H3" s="43"/>
      <c r="I3" s="43"/>
      <c r="J3" s="43"/>
      <c r="K3" s="43"/>
      <c r="L3" s="43"/>
      <c r="M3" s="43"/>
      <c r="N3" s="43"/>
      <c r="O3" s="43"/>
      <c r="P3" s="43"/>
      <c r="Q3" s="43"/>
      <c r="R3" s="43"/>
      <c r="S3" s="43"/>
      <c r="T3" s="43"/>
      <c r="U3" s="43"/>
      <c r="V3" s="43"/>
      <c r="W3" s="43"/>
      <c r="X3" s="43"/>
      <c r="Y3" s="43"/>
      <c r="Z3" s="43"/>
    </row>
    <row r="4">
      <c r="A4" s="49"/>
      <c r="B4" s="45">
        <v>3.0</v>
      </c>
      <c r="C4" s="46" t="s">
        <v>151</v>
      </c>
      <c r="D4" s="110"/>
      <c r="E4" s="111">
        <v>8932720.0</v>
      </c>
      <c r="F4" s="43"/>
      <c r="G4" s="43"/>
      <c r="H4" s="43"/>
      <c r="I4" s="43"/>
      <c r="J4" s="43"/>
      <c r="K4" s="43"/>
      <c r="L4" s="43"/>
      <c r="M4" s="43"/>
      <c r="N4" s="43"/>
      <c r="O4" s="43"/>
      <c r="P4" s="43"/>
      <c r="Q4" s="43"/>
      <c r="R4" s="43"/>
      <c r="S4" s="43"/>
      <c r="T4" s="43"/>
      <c r="U4" s="43"/>
      <c r="V4" s="43"/>
      <c r="W4" s="43"/>
      <c r="X4" s="43"/>
      <c r="Y4" s="43"/>
      <c r="Z4" s="43"/>
    </row>
    <row r="5">
      <c r="A5" s="49"/>
      <c r="B5" s="45">
        <v>4.0</v>
      </c>
      <c r="C5" s="46" t="s">
        <v>152</v>
      </c>
      <c r="D5" s="112"/>
      <c r="E5" s="111">
        <v>6808808.0</v>
      </c>
      <c r="F5" s="43"/>
      <c r="G5" s="43"/>
      <c r="H5" s="43"/>
      <c r="I5" s="43"/>
      <c r="J5" s="43"/>
      <c r="K5" s="43"/>
      <c r="L5" s="43"/>
      <c r="M5" s="43"/>
      <c r="N5" s="43"/>
      <c r="O5" s="43"/>
      <c r="P5" s="43"/>
      <c r="Q5" s="43"/>
      <c r="R5" s="43"/>
      <c r="S5" s="43"/>
      <c r="T5" s="43"/>
      <c r="U5" s="43"/>
      <c r="V5" s="43"/>
      <c r="W5" s="43"/>
      <c r="X5" s="43"/>
      <c r="Y5" s="43"/>
      <c r="Z5" s="43"/>
    </row>
    <row r="6">
      <c r="A6" s="49"/>
      <c r="B6" s="45">
        <v>5.0</v>
      </c>
      <c r="C6" s="51" t="s">
        <v>153</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154</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156</v>
      </c>
      <c r="D9" s="112"/>
      <c r="E9" s="111">
        <v>592777.0</v>
      </c>
      <c r="F9" s="43"/>
      <c r="G9" s="43"/>
      <c r="H9" s="43"/>
      <c r="I9" s="43"/>
      <c r="J9" s="43"/>
      <c r="K9" s="43"/>
      <c r="L9" s="43"/>
      <c r="M9" s="43"/>
      <c r="N9" s="43"/>
      <c r="O9" s="43"/>
      <c r="P9" s="43"/>
      <c r="Q9" s="43"/>
      <c r="R9" s="43"/>
      <c r="S9" s="43"/>
      <c r="T9" s="43"/>
      <c r="U9" s="43"/>
      <c r="V9" s="43"/>
      <c r="W9" s="43"/>
      <c r="X9" s="43"/>
      <c r="Y9" s="43"/>
      <c r="Z9" s="43"/>
    </row>
    <row r="10">
      <c r="A10" s="49"/>
      <c r="B10" s="45">
        <v>9.0</v>
      </c>
      <c r="C10" s="46" t="s">
        <v>157</v>
      </c>
      <c r="D10" s="110"/>
      <c r="E10" s="111">
        <v>1025619.0</v>
      </c>
      <c r="F10" s="43"/>
      <c r="G10" s="43"/>
      <c r="H10" s="43"/>
      <c r="I10" s="43"/>
      <c r="J10" s="43"/>
      <c r="K10" s="43"/>
      <c r="L10" s="43"/>
      <c r="M10" s="43"/>
      <c r="N10" s="43"/>
      <c r="O10" s="43"/>
      <c r="P10" s="43"/>
      <c r="Q10" s="43"/>
      <c r="R10" s="43"/>
      <c r="S10" s="43"/>
      <c r="T10" s="43"/>
      <c r="U10" s="43"/>
      <c r="V10" s="43"/>
      <c r="W10" s="43"/>
      <c r="X10" s="43"/>
      <c r="Y10" s="43"/>
      <c r="Z10" s="43"/>
    </row>
    <row r="11">
      <c r="A11" s="49"/>
      <c r="B11" s="45" t="s">
        <v>158</v>
      </c>
      <c r="C11" s="46" t="s">
        <v>159</v>
      </c>
      <c r="D11" s="111">
        <v>2.42353992E8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160</v>
      </c>
      <c r="C12" s="46" t="s">
        <v>161</v>
      </c>
      <c r="D12" s="111">
        <v>9.8075545E7</v>
      </c>
      <c r="E12" s="108">
        <f>D11-D12</f>
        <v>144278447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162</v>
      </c>
      <c r="D13" s="112"/>
      <c r="E13" s="111">
        <v>1.68684555E8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163</v>
      </c>
      <c r="D14" s="112"/>
      <c r="E14" s="111">
        <v>1.6502725E7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166</v>
      </c>
      <c r="D17" s="112"/>
      <c r="E17" s="111">
        <v>276992.0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167</v>
      </c>
      <c r="D18" s="113"/>
      <c r="E18" s="114">
        <f>sum(E2:E17)</f>
        <v>351495504</v>
      </c>
      <c r="F18" s="43"/>
      <c r="G18" s="43"/>
      <c r="H18" s="43"/>
      <c r="I18" s="43"/>
      <c r="J18" s="43"/>
      <c r="K18" s="43"/>
      <c r="L18" s="43"/>
      <c r="M18" s="43"/>
      <c r="N18" s="43"/>
      <c r="O18" s="43"/>
      <c r="P18" s="43"/>
      <c r="Q18" s="43"/>
      <c r="R18" s="43"/>
      <c r="S18" s="43"/>
      <c r="T18" s="43"/>
      <c r="U18" s="43"/>
      <c r="V18" s="43"/>
      <c r="W18" s="43"/>
      <c r="X18" s="43"/>
      <c r="Y18" s="43"/>
      <c r="Z18" s="43"/>
    </row>
    <row r="19">
      <c r="A19" s="44" t="s">
        <v>168</v>
      </c>
      <c r="B19" s="115">
        <v>17.0</v>
      </c>
      <c r="C19" s="116" t="s">
        <v>169</v>
      </c>
      <c r="D19" s="117"/>
      <c r="E19" s="111">
        <v>5157928.0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170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171</v>
      </c>
      <c r="D21" s="117"/>
      <c r="E21" s="111">
        <v>18510.0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177</v>
      </c>
      <c r="D27" s="117"/>
      <c r="E27" s="118">
        <v>2217249.0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178</v>
      </c>
      <c r="D28" s="125"/>
      <c r="E28" s="126">
        <f>sum(E19:E27)</f>
        <v>7393687</v>
      </c>
      <c r="F28" s="43"/>
      <c r="G28" s="43"/>
      <c r="H28" s="43"/>
      <c r="I28" s="43"/>
      <c r="J28" s="43"/>
      <c r="K28" s="43"/>
      <c r="L28" s="43"/>
      <c r="M28" s="43"/>
      <c r="N28" s="43"/>
      <c r="O28" s="43"/>
      <c r="P28" s="43"/>
      <c r="Q28" s="43"/>
      <c r="R28" s="43"/>
      <c r="S28" s="43"/>
      <c r="T28" s="43"/>
      <c r="U28" s="43"/>
      <c r="V28" s="43"/>
      <c r="W28" s="43"/>
      <c r="X28" s="43"/>
      <c r="Y28" s="43"/>
      <c r="Z28" s="43"/>
    </row>
    <row r="29">
      <c r="A29" s="64" t="s">
        <v>179</v>
      </c>
      <c r="B29" s="127"/>
      <c r="C29" s="128" t="s">
        <v>180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181</v>
      </c>
      <c r="D30" s="117"/>
      <c r="E30" s="111">
        <v>1.75406621E8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182</v>
      </c>
      <c r="D31" s="117"/>
      <c r="E31" s="111">
        <v>1.68695196E8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187</v>
      </c>
      <c r="D36" s="131"/>
      <c r="E36" s="126">
        <f>sum(E30:E35)</f>
        <v>344101817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188</v>
      </c>
      <c r="D37" s="135"/>
      <c r="E37" s="136">
        <f>E36+E28</f>
        <v>351495504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