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<sst xmlns="http://schemas.openxmlformats.org/spreadsheetml/2006/main" count="882" uniqueCount="259">
  <si>
    <t>PEAK GRANTMAKING</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</si>
  <si>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</si>
  <si>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</si>
  <si>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</si>
  <si>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</si>
  <si>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</si>
  <si>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</si>
  <si>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</si>
  <si>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</si>
  <si>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</si>
  <si>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</si>
  <si>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</si>
  <si>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</si>
  <si>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</si>
  <si>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</si>
  <si>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</si>
  <si>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</si>
  <si>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</si>
  <si>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</si>
  <si>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</si>
  <si>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</si>
  <si>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</si>
  <si>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</si>
  <si>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</si>
  <si>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</si>
  <si>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</si>
  <si>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</si>
  <si>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</si>
  <si>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</si>
  <si>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</si>
  <si>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</si>
  <si>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</si>
  <si>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</si>
  <si>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</si>
  <si>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</si>
  <si>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</si>
  <si>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</si>
  <si>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</si>
  <si>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</si>
  <si>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</si>
  <si>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</si>
  <si>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</si>
  <si>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</si>
  <si>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</si>
  <si>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</si>
  <si>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</si>
  <si>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</si>
  <si>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</si>
  <si>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</si>
  <si>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</si>
  <si>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</si>
  <si>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</si>
  <si>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</si>
  <si>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</si>
  <si>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</si>
  <si>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</si>
  <si>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</si>
  <si>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</si>
  <si>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</si>
  <si>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</si>
  <si>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</si>
  <si>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</si>
  <si>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</si>
  <si>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</si>
  <si>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REGISTRATION FEES</t>
  </si>
  <si>
    <t>ANNUAL CONFERENCE</t>
  </si>
  <si>
    <t>ADVOCACY AND PARTNERSH</t>
  </si>
  <si>
    <t>CONFERENCE EXHIBITORS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</si>
  <si>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</si>
  <si>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</si>
  <si>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</si>
  <si>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</si>
  <si>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</si>
  <si>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</si>
  <si>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</si>
  <si>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</si>
  <si>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</si>
  <si>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</si>
  <si>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</si>
  <si>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</si>
  <si>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</si>
  <si>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</si>
  <si>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</si>
  <si>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</si>
  <si>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</si>
  <si>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</si>
  <si>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</si>
  <si>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</si>
  <si>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</si>
  <si>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</si>
  <si>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</si>
  <si>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</si>
  <si>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</si>
  <si>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</si>
  <si>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</si>
  <si>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</si>
  <si>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</si>
  <si>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</si>
  <si>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</si>
  <si>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</si>
  <si>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</si>
  <si>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</si>
  <si>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</si>
  <si>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</si>
  <si>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</si>
  <si>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</si>
  <si>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</si>
  <si>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</si>
  <si>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</si>
  <si>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</si>
  <si>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</si>
  <si>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</si>
  <si>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</si>
  <si>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</si>
  <si>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</si>
  <si>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</si>
  <si>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</si>
  <si>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</si>
  <si>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</si>
  <si>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</si>
  <si>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</si>
  <si>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</si>
  <si>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</si>
  <si>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</si>
  <si>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</si>
  <si>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</si>
  <si>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</si>
  <si>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</si>
  <si>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</si>
  <si>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</si>
  <si>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</si>
  <si>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</si>
  <si>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</si>
  <si>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</si>
  <si>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</si>
  <si>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</si>
  <si>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</si>
  <si>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</si>
  <si>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PROF. DEVELOPMENT</t>
  </si>
  <si>
    <t>MISCELLANEOUS</t>
  </si>
  <si>
    <t>RECRUITMENT</t>
  </si>
  <si>
    <t>ALLOC OF ADMIN EXP.</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</si>
  <si>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</si>
  <si>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</si>
  <si>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</si>
  <si>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</si>
  <si>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</si>
  <si>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</si>
  <si>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</si>
  <si>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</si>
  <si>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</si>
  <si>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</si>
  <si>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</si>
  <si>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</si>
  <si>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</si>
  <si>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</si>
  <si>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</si>
  <si>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</si>
  <si>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</si>
  <si>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</si>
  <si>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</si>
  <si>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</si>
  <si>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</si>
  <si>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</si>
  <si>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</si>
  <si>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</si>
  <si>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</si>
  <si>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</si>
  <si>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</si>
  <si>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</si>
  <si>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</si>
  <si>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</si>
  <si>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</si>
  <si>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</si>
  <si>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</si>
  <si>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</si>
  <si>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</si>
  <si>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</si>
  <si>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</si>
  <si>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</si>
  <si>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</si>
  <si>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</si>
  <si>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</si>
  <si>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</si>
  <si>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</si>
  <si>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</si>
  <si>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</si>
  <si>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</si>
  <si>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</si>
  <si>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</si>
  <si>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</si>
  <si>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</si>
  <si>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</si>
  <si>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</si>
  <si>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</si>
  <si>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</si>
  <si>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</si>
  <si>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</si>
  <si>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</si>
  <si>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</si>
  <si>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</si>
  <si>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</si>
  <si>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</si>
  <si>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</si>
  <si>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</si>
  <si>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</si>
  <si>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</si>
  <si>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</si>
  <si>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</si>
  <si>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</si>
  <si>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</si>
  <si>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</si>
  <si>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</si>
  <si>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</si>
  <si>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</si>
  <si>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</si>
  <si>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</si>
  <si>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</si>
  <si>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</si>
  <si>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</si>
  <si>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</si>
  <si>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</si>
  <si>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</si>
  <si>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</si>
  <si>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</si>
  <si>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</si>
  <si>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</si>
  <si>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</si>
  <si>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</si>
  <si>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</si>
  <si>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</si>
  <si>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</si>
  <si>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</si>
  <si>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</si>
  <si>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</si>
  <si>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</si>
  <si>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</si>
  <si>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</si>
  <si>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</si>
  <si>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</si>
  <si>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</si>
  <si>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</si>
  <si>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MEMBERSHIP DUES</t>
  </si>
  <si>
    <t>ADVOCACY AND PARTNERSHIPS</t>
  </si>
  <si>
    <t>All other program service revenue</t>
  </si>
  <si>
    <r>
      <rPr>
        <rFont val="Roboto"/>
        <color rgb="FF000000"/>
        <sz val="10.0"/>
      </rPr>
      <t xml:space="preserve">Gross amount from sales of </t>
    </r>
    <r>
      <rPr>
        <rFont val="Roboto"/>
        <color rgb="FF000000"/>
        <sz val="10.0"/>
      </rPr>
      <t>assets other than inventory</t>
    </r>
  </si>
  <si>
    <t>PROF. DEVELOPMENT</t>
  </si>
  <si>
    <t xml:space="preserve"> RECRUITMENT</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</si>
  <si>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</si>
  <si>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</si>
  <si>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GMDC FEES</t>
  </si>
  <si>
    <t>SURVEY REPORT FEES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</si>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</sst>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4"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PEAK GRANTMAKING</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185</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186</v>
      </c>
      <c r="C3" s="144" t="s">
        <v>187</v>
      </c>
      <c r="D3" s="145">
        <f>'Expenses 2023'!C40</f>
        <v>6814155</v>
      </c>
      <c r="E3" s="146"/>
      <c r="F3" s="43"/>
      <c r="G3" s="43"/>
      <c r="H3" s="43"/>
      <c r="I3" s="43"/>
      <c r="J3" s="43"/>
      <c r="K3" s="43"/>
      <c r="L3" s="43"/>
      <c r="M3" s="43"/>
      <c r="N3" s="43"/>
      <c r="O3" s="43"/>
      <c r="P3" s="43"/>
      <c r="Q3" s="43"/>
      <c r="R3" s="43"/>
      <c r="S3" s="43"/>
      <c r="T3" s="43"/>
      <c r="U3" s="43"/>
      <c r="V3" s="43"/>
      <c r="W3" s="43"/>
      <c r="X3" s="43"/>
      <c r="Y3" s="43"/>
    </row>
    <row r="4">
      <c r="A4" s="138"/>
      <c r="B4" s="49"/>
      <c r="C4" s="144" t="s">
        <v>188</v>
      </c>
      <c r="D4" s="145">
        <f>'Expenses 2023'!C31</f>
        <v>20942</v>
      </c>
      <c r="E4" s="146"/>
      <c r="F4" s="43"/>
      <c r="G4" s="43"/>
      <c r="H4" s="43"/>
      <c r="I4" s="43"/>
      <c r="J4" s="43"/>
      <c r="K4" s="43"/>
      <c r="L4" s="43"/>
      <c r="M4" s="43"/>
      <c r="N4" s="43"/>
      <c r="O4" s="43"/>
      <c r="P4" s="43"/>
      <c r="Q4" s="43"/>
      <c r="R4" s="43"/>
      <c r="S4" s="43"/>
      <c r="T4" s="43"/>
      <c r="U4" s="43"/>
      <c r="V4" s="43"/>
      <c r="W4" s="43"/>
      <c r="X4" s="43"/>
      <c r="Y4" s="43"/>
    </row>
    <row r="5">
      <c r="A5" s="138"/>
      <c r="B5" s="49"/>
      <c r="C5" s="144" t="s">
        <v>189</v>
      </c>
      <c r="D5" s="145">
        <f>D3-D4</f>
        <v>6793213</v>
      </c>
      <c r="E5" s="146"/>
      <c r="F5" s="43"/>
      <c r="G5" s="43"/>
      <c r="H5" s="43"/>
      <c r="I5" s="43"/>
      <c r="J5" s="43"/>
      <c r="K5" s="43"/>
      <c r="L5" s="43"/>
      <c r="M5" s="43"/>
      <c r="N5" s="43"/>
      <c r="O5" s="43"/>
      <c r="P5" s="43"/>
      <c r="Q5" s="43"/>
      <c r="R5" s="43"/>
      <c r="S5" s="43"/>
      <c r="T5" s="43"/>
      <c r="U5" s="43"/>
      <c r="V5" s="43"/>
      <c r="W5" s="43"/>
      <c r="X5" s="43"/>
      <c r="Y5" s="43"/>
    </row>
    <row r="6">
      <c r="A6" s="138"/>
      <c r="B6" s="49"/>
      <c r="C6" s="144" t="s">
        <v>190</v>
      </c>
      <c r="D6" s="145">
        <f>D5/12</f>
        <v>566101.0833</v>
      </c>
      <c r="E6" s="146"/>
      <c r="F6" s="43"/>
      <c r="G6" s="43"/>
      <c r="H6" s="43"/>
      <c r="I6" s="43"/>
      <c r="J6" s="43"/>
      <c r="K6" s="43"/>
      <c r="L6" s="43"/>
      <c r="M6" s="43"/>
      <c r="N6" s="43"/>
      <c r="O6" s="43"/>
      <c r="P6" s="43"/>
      <c r="Q6" s="43"/>
      <c r="R6" s="43"/>
      <c r="S6" s="43"/>
      <c r="T6" s="43"/>
      <c r="U6" s="43"/>
      <c r="V6" s="43"/>
      <c r="W6" s="43"/>
      <c r="X6" s="43"/>
      <c r="Y6" s="43"/>
    </row>
    <row r="7">
      <c r="A7" s="138"/>
      <c r="B7" s="49"/>
      <c r="C7" s="144" t="s">
        <v>191</v>
      </c>
      <c r="D7" s="75">
        <f>'Balance Sheet 2023'!E2+'Balance Sheet 2023'!E3</f>
        <v>1934443</v>
      </c>
      <c r="E7" s="146"/>
      <c r="F7" s="43"/>
      <c r="G7" s="43"/>
      <c r="H7" s="43"/>
      <c r="I7" s="43"/>
      <c r="J7" s="43"/>
      <c r="K7" s="43"/>
      <c r="L7" s="43"/>
      <c r="M7" s="43"/>
      <c r="N7" s="43"/>
      <c r="O7" s="43"/>
      <c r="P7" s="43"/>
      <c r="Q7" s="43"/>
      <c r="R7" s="43"/>
      <c r="S7" s="43"/>
      <c r="T7" s="43"/>
      <c r="U7" s="43"/>
      <c r="V7" s="43"/>
      <c r="W7" s="43"/>
      <c r="X7" s="43"/>
      <c r="Y7" s="43"/>
    </row>
    <row r="8">
      <c r="A8" s="138"/>
      <c r="B8" s="49"/>
      <c r="C8" s="147" t="s">
        <v>185</v>
      </c>
      <c r="D8" s="148">
        <f>D7/D6</f>
        <v>3.417133542</v>
      </c>
      <c r="E8" s="149" t="s">
        <v>192</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193</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194</v>
      </c>
      <c r="C11" s="144" t="s">
        <v>195</v>
      </c>
      <c r="D11" s="75">
        <f>'Balance Sheet 2023'!E30</f>
        <v>1894051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196</v>
      </c>
      <c r="D12" s="75">
        <f>'Expenses 2023'!C40</f>
        <v>6814155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197</v>
      </c>
      <c r="D13" s="145">
        <f>D12/12</f>
        <v>567846.25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193</v>
      </c>
      <c r="D14" s="148">
        <f>D11/D13</f>
        <v>3.335499706</v>
      </c>
      <c r="E14" s="149" t="s">
        <v>192</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198</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199</v>
      </c>
      <c r="C17" s="144" t="s">
        <v>200</v>
      </c>
      <c r="D17" s="75">
        <f>sum('Balance Sheet 2023'!E13:E15)</f>
        <v>1361266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196</v>
      </c>
      <c r="D18" s="75">
        <f>'Expenses 2023'!C40</f>
        <v>6814155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197</v>
      </c>
      <c r="D19" s="145">
        <f>D18/12</f>
        <v>567846.25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201</v>
      </c>
      <c r="D20" s="148">
        <f>D17/D19</f>
        <v>2.397243972</v>
      </c>
      <c r="E20" s="149" t="s">
        <v>192</v>
      </c>
      <c r="F20" s="43"/>
      <c r="G20" s="43"/>
      <c r="H20" s="43"/>
      <c r="I20" s="43"/>
      <c r="J20" s="43"/>
      <c r="K20" s="43"/>
      <c r="L20" s="43"/>
      <c r="M20" s="43"/>
      <c r="N20" s="43"/>
      <c r="O20" s="43"/>
      <c r="P20" s="43"/>
      <c r="Q20" s="43"/>
      <c r="R20" s="43"/>
      <c r="S20" s="43"/>
      <c r="T20" s="43"/>
      <c r="U20" s="43"/>
      <c r="V20" s="43"/>
      <c r="W20" s="43"/>
      <c r="X20" s="43"/>
      <c r="Y20" s="43"/>
    </row>
    <row r="21">
      <c r="A21" s="138"/>
      <c r="B21" s="49"/>
      <c r="C21" s="153" t="s">
        <v>202</v>
      </c>
      <c r="D21" s="154">
        <f>D20+D8</f>
        <v>5.814377514</v>
      </c>
      <c r="E21" s="155" t="s">
        <v>192</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203</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204</v>
      </c>
      <c r="C24" s="159"/>
      <c r="D24" s="160">
        <f>max('Revenues 2023'!E2:E7,'Revenues 2023'!F10:F15)</f>
        <v>1294530</v>
      </c>
      <c r="E24" s="161" t="s">
        <v>205</v>
      </c>
      <c r="F24" s="43"/>
      <c r="G24" s="43"/>
      <c r="H24" s="43"/>
      <c r="I24" s="43"/>
      <c r="J24" s="43"/>
      <c r="K24" s="43"/>
      <c r="L24" s="43"/>
      <c r="M24" s="43"/>
      <c r="N24" s="43"/>
      <c r="O24" s="43"/>
      <c r="P24" s="43"/>
      <c r="Q24" s="43"/>
      <c r="R24" s="43"/>
      <c r="S24" s="43"/>
      <c r="T24" s="43"/>
      <c r="U24" s="43"/>
      <c r="V24" s="43"/>
      <c r="W24" s="43"/>
      <c r="X24" s="43"/>
      <c r="Y24" s="43"/>
    </row>
    <row r="25">
      <c r="A25" s="138"/>
      <c r="B25" s="49"/>
      <c r="C25" s="144" t="s">
        <v>206</v>
      </c>
      <c r="D25" s="145">
        <f>'Revenues 2023'!F44</f>
        <v>3799535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203</v>
      </c>
      <c r="D26" s="162">
        <f>D24/D25</f>
        <v>0.3407074813</v>
      </c>
      <c r="E26" s="149" t="s">
        <v>207</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208</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209</v>
      </c>
      <c r="C29" s="144" t="s">
        <v>210</v>
      </c>
      <c r="D29" s="75">
        <f>SUM('Expenses 2023'!C7:C9)</f>
        <v>2378133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211</v>
      </c>
      <c r="D30" s="75">
        <f>SUM('Expenses 2023'!C10:C12)</f>
        <v>544680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212</v>
      </c>
      <c r="D31" s="75">
        <f>sum(D29:D30)</f>
        <v>2922813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187</v>
      </c>
      <c r="D32" s="75">
        <f>'Expenses 2023'!C40</f>
        <v>6814155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213</v>
      </c>
      <c r="D33" s="162">
        <f>D31/D32</f>
        <v>0.4289325676</v>
      </c>
      <c r="E33" s="149" t="s">
        <v>214</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215</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216</v>
      </c>
      <c r="C36" s="144" t="s">
        <v>217</v>
      </c>
      <c r="D36" s="75">
        <f>SUM('Expenses 2023'!C10:C11)</f>
        <v>366228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210</v>
      </c>
      <c r="D37" s="75">
        <f>SUM('Expenses 2023'!C7:C9)</f>
        <v>2378133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215</v>
      </c>
      <c r="D38" s="162">
        <f>D36/D37</f>
        <v>0.1539981153</v>
      </c>
      <c r="E38" s="149" t="s">
        <v>218</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219</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220</v>
      </c>
      <c r="C41" s="147" t="s">
        <v>248</v>
      </c>
      <c r="D41" s="75">
        <f>'Expenses 2023'!D40</f>
        <v>4161530</v>
      </c>
      <c r="E41" s="164">
        <f t="shared" ref="E41:E44" si="1">D41/$D$44</f>
        <v>0.6107184236</v>
      </c>
      <c r="F41" s="43"/>
      <c r="G41" s="43"/>
      <c r="H41" s="43"/>
      <c r="I41" s="43"/>
      <c r="J41" s="43"/>
      <c r="K41" s="43"/>
      <c r="L41" s="43"/>
      <c r="M41" s="43"/>
      <c r="N41" s="43"/>
      <c r="O41" s="43"/>
      <c r="P41" s="43"/>
      <c r="Q41" s="43"/>
      <c r="R41" s="43"/>
      <c r="S41" s="43"/>
      <c r="T41" s="43"/>
      <c r="U41" s="43"/>
      <c r="V41" s="43"/>
      <c r="W41" s="43"/>
      <c r="X41" s="43"/>
      <c r="Y41" s="43"/>
    </row>
    <row r="42">
      <c r="A42" s="138"/>
      <c r="B42" s="49"/>
      <c r="C42" s="147" t="s">
        <v>222</v>
      </c>
      <c r="D42" s="145">
        <f>'Expenses 2023'!E40</f>
        <v>2504383</v>
      </c>
      <c r="E42" s="164">
        <f t="shared" si="1"/>
        <v>0.3675265679</v>
      </c>
      <c r="F42" s="43"/>
      <c r="G42" s="43"/>
      <c r="H42" s="43"/>
      <c r="I42" s="43"/>
      <c r="J42" s="43"/>
      <c r="K42" s="43"/>
      <c r="L42" s="43"/>
      <c r="M42" s="43"/>
      <c r="N42" s="43"/>
      <c r="O42" s="43"/>
      <c r="P42" s="43"/>
      <c r="Q42" s="43"/>
      <c r="R42" s="43"/>
      <c r="S42" s="43"/>
      <c r="T42" s="43"/>
      <c r="U42" s="43"/>
      <c r="V42" s="43"/>
      <c r="W42" s="43"/>
      <c r="X42" s="43"/>
      <c r="Y42" s="43"/>
    </row>
    <row r="43">
      <c r="A43" s="138"/>
      <c r="B43" s="49"/>
      <c r="C43" s="147" t="s">
        <v>223</v>
      </c>
      <c r="D43" s="145">
        <f>'Expenses 2023'!F40</f>
        <v>148242</v>
      </c>
      <c r="E43" s="164">
        <f t="shared" si="1"/>
        <v>0.02175500851</v>
      </c>
      <c r="F43" s="43"/>
      <c r="G43" s="43"/>
      <c r="H43" s="43"/>
      <c r="I43" s="43"/>
      <c r="J43" s="43"/>
      <c r="K43" s="43"/>
      <c r="L43" s="43"/>
      <c r="M43" s="43"/>
      <c r="N43" s="43"/>
      <c r="O43" s="43"/>
      <c r="P43" s="43"/>
      <c r="Q43" s="43"/>
      <c r="R43" s="43"/>
      <c r="S43" s="43"/>
      <c r="T43" s="43"/>
      <c r="U43" s="43"/>
      <c r="V43" s="43"/>
      <c r="W43" s="43"/>
      <c r="X43" s="43"/>
      <c r="Y43" s="43"/>
    </row>
    <row r="44">
      <c r="A44" s="138"/>
      <c r="B44" s="49"/>
      <c r="C44" s="144" t="s">
        <v>187</v>
      </c>
      <c r="D44" s="145">
        <f>sum(D41:D43)</f>
        <v>6814155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224</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225</v>
      </c>
      <c r="C47" s="144" t="s">
        <v>226</v>
      </c>
      <c r="D47" s="145">
        <f>'Revenues 2023'!F9</f>
        <v>1683289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227</v>
      </c>
      <c r="D48" s="145">
        <f>'Expenses 2023'!F40</f>
        <v>148242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228</v>
      </c>
      <c r="D49" s="165">
        <f>if(D48=0, "$0",D47/D48)</f>
        <v>11.35500735</v>
      </c>
      <c r="E49" s="149" t="s">
        <v>229</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230</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231</v>
      </c>
      <c r="C52" s="144" t="s">
        <v>232</v>
      </c>
      <c r="D52" s="145">
        <f>sum('Balance Sheet 2023'!E2:E10)</f>
        <v>2194117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233</v>
      </c>
      <c r="D53" s="145">
        <f>sum('Balance Sheet 2023'!E19:E22)</f>
        <v>1128597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234</v>
      </c>
      <c r="D54" s="167">
        <f>D52/D53</f>
        <v>1.944110254</v>
      </c>
      <c r="E54" s="149" t="s">
        <v>235</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236</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237</v>
      </c>
      <c r="C57" s="144" t="s">
        <v>238</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239</v>
      </c>
      <c r="D58" s="145">
        <f>'Balance Sheet 2023'!E18</f>
        <v>3645316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240</v>
      </c>
      <c r="D59" s="168">
        <f>D57/D58</f>
        <v>0</v>
      </c>
      <c r="E59" s="149" t="s">
        <v>241</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PEAK GRANTMAKING</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1551737.0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37500.0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1125011.0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2714248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1295005.0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242</v>
      </c>
      <c r="D11" s="61"/>
      <c r="E11" s="61"/>
      <c r="F11" s="62">
        <v>412042.0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65</v>
      </c>
      <c r="D12" s="61"/>
      <c r="E12" s="61"/>
      <c r="F12" s="62">
        <v>304000.0</v>
      </c>
      <c r="G12" s="43"/>
      <c r="H12" s="43"/>
      <c r="I12" s="43"/>
      <c r="J12" s="43"/>
      <c r="K12" s="43"/>
      <c r="L12" s="43"/>
      <c r="M12" s="43"/>
      <c r="N12" s="43"/>
      <c r="O12" s="43"/>
      <c r="P12" s="43"/>
      <c r="Q12" s="43"/>
      <c r="R12" s="43"/>
      <c r="S12" s="43"/>
      <c r="T12" s="43"/>
      <c r="U12" s="43"/>
      <c r="V12" s="43"/>
      <c r="W12" s="43"/>
      <c r="X12" s="43"/>
      <c r="Y12" s="43"/>
      <c r="Z12" s="43"/>
    </row>
    <row r="13">
      <c r="A13" s="49"/>
      <c r="B13" s="45" t="s">
        <v>52</v>
      </c>
      <c r="C13" s="174"/>
      <c r="D13" s="61"/>
      <c r="E13" s="61"/>
      <c r="F13" s="62">
        <v>162644.0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105000.0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2278691</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16806.0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249</v>
      </c>
      <c r="D26" s="50">
        <v>1516086.0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1384666.0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131420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131420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3235.0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3235</v>
      </c>
      <c r="G38" s="43"/>
      <c r="H38" s="43"/>
      <c r="I38" s="43"/>
      <c r="J38" s="43"/>
      <c r="K38" s="43"/>
      <c r="L38" s="43"/>
      <c r="M38" s="43"/>
      <c r="N38" s="43"/>
      <c r="O38" s="43"/>
      <c r="P38" s="43"/>
      <c r="Q38" s="43"/>
      <c r="R38" s="43"/>
      <c r="S38" s="43"/>
      <c r="T38" s="43"/>
      <c r="U38" s="43"/>
      <c r="V38" s="43"/>
      <c r="W38" s="43"/>
      <c r="X38" s="43"/>
      <c r="Y38" s="43"/>
      <c r="Z38" s="43"/>
    </row>
    <row r="39">
      <c r="A39" s="49"/>
      <c r="B39" s="45" t="s">
        <v>99</v>
      </c>
      <c r="C39" s="83" t="s">
        <v>250</v>
      </c>
      <c r="D39" s="74"/>
      <c r="E39" s="48">
        <v>99300.0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251</v>
      </c>
      <c r="D40" s="74"/>
      <c r="E40" s="48">
        <v>57500.0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t="s">
        <v>100</v>
      </c>
      <c r="D41" s="74"/>
      <c r="E41" s="48">
        <v>19183.0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175983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5320383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PEAK GRANTMAKING</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562073</v>
      </c>
      <c r="D7" s="99">
        <v>344706.0</v>
      </c>
      <c r="E7" s="99">
        <v>131666.0</v>
      </c>
      <c r="F7" s="99">
        <v>85701.0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2183129</v>
      </c>
      <c r="D9" s="99">
        <v>1469769.0</v>
      </c>
      <c r="E9" s="99">
        <v>652075.0</v>
      </c>
      <c r="F9" s="99">
        <v>61285.0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57465</v>
      </c>
      <c r="D10" s="99">
        <v>38002.0</v>
      </c>
      <c r="E10" s="99">
        <v>16460.0</v>
      </c>
      <c r="F10" s="99">
        <v>3003.0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324803</v>
      </c>
      <c r="D11" s="99">
        <v>215723.0</v>
      </c>
      <c r="E11" s="99">
        <v>95635.0</v>
      </c>
      <c r="F11" s="99">
        <v>13445.0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196634</v>
      </c>
      <c r="D12" s="99">
        <v>130034.0</v>
      </c>
      <c r="E12" s="99">
        <v>56324.0</v>
      </c>
      <c r="F12" s="99">
        <v>10276.0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12941</v>
      </c>
      <c r="D15" s="99">
        <v>0.0</v>
      </c>
      <c r="E15" s="99">
        <v>12941.0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143685</v>
      </c>
      <c r="D16" s="99">
        <v>0.0</v>
      </c>
      <c r="E16" s="99">
        <v>143685.0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25000</v>
      </c>
      <c r="D18" s="99">
        <v>0.0</v>
      </c>
      <c r="E18" s="99">
        <v>0.0</v>
      </c>
      <c r="F18" s="99">
        <v>25000.0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8334</v>
      </c>
      <c r="D19" s="99">
        <v>0.0</v>
      </c>
      <c r="E19" s="99">
        <v>8334.0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800780</v>
      </c>
      <c r="D20" s="99">
        <v>426525.0</v>
      </c>
      <c r="E20" s="99">
        <v>356982.0</v>
      </c>
      <c r="F20" s="99">
        <v>17273.0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214265</v>
      </c>
      <c r="D21" s="99">
        <v>114126.0</v>
      </c>
      <c r="E21" s="99">
        <v>95518.0</v>
      </c>
      <c r="F21" s="99">
        <v>4621.0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162607</v>
      </c>
      <c r="D22" s="99">
        <v>70293.0</v>
      </c>
      <c r="E22" s="99">
        <v>92223.0</v>
      </c>
      <c r="F22" s="99">
        <v>91.0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747069</v>
      </c>
      <c r="D23" s="99">
        <v>540930.0</v>
      </c>
      <c r="E23" s="99">
        <v>204025.0</v>
      </c>
      <c r="F23" s="99">
        <v>2114.0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22839</v>
      </c>
      <c r="D25" s="99">
        <v>0.0</v>
      </c>
      <c r="E25" s="99">
        <v>22839.0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350098</v>
      </c>
      <c r="D26" s="99">
        <v>159799.0</v>
      </c>
      <c r="E26" s="99">
        <v>190242.0</v>
      </c>
      <c r="F26" s="99">
        <v>57.0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973548</v>
      </c>
      <c r="D28" s="99">
        <v>967099.0</v>
      </c>
      <c r="E28" s="99">
        <v>6449.0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100456</v>
      </c>
      <c r="D31" s="99">
        <v>0.0</v>
      </c>
      <c r="E31" s="99">
        <v>100456.0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116270</v>
      </c>
      <c r="D32" s="99">
        <v>30874.0</v>
      </c>
      <c r="E32" s="99">
        <v>85388.0</v>
      </c>
      <c r="F32" s="99">
        <v>8.0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246</v>
      </c>
      <c r="C34" s="98">
        <f t="shared" si="1"/>
        <v>124559</v>
      </c>
      <c r="D34" s="99">
        <v>405.0</v>
      </c>
      <c r="E34" s="99">
        <v>124154.0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3049</v>
      </c>
      <c r="D35" s="99">
        <v>2833.0</v>
      </c>
      <c r="E35" s="99">
        <v>216.0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140</v>
      </c>
      <c r="C36" s="98">
        <f t="shared" si="1"/>
        <v>42</v>
      </c>
      <c r="D36" s="99">
        <v>0.0</v>
      </c>
      <c r="E36" s="99">
        <v>42.0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3">
        <f t="shared" ref="C40:F40" si="2">sum(C3:C39)</f>
        <v>7129646</v>
      </c>
      <c r="D40" s="103">
        <f t="shared" si="2"/>
        <v>4511118</v>
      </c>
      <c r="E40" s="103">
        <f t="shared" si="2"/>
        <v>2395654</v>
      </c>
      <c r="F40" s="103">
        <f t="shared" si="2"/>
        <v>222874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PEAK GRANTMAKING</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144</v>
      </c>
      <c r="B2" s="45">
        <v>1.0</v>
      </c>
      <c r="C2" s="46" t="s">
        <v>145</v>
      </c>
      <c r="D2" s="110"/>
      <c r="E2" s="111">
        <v>1307544.0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2"/>
      <c r="E3" s="111">
        <v>23690.0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0"/>
      <c r="E4" s="111">
        <v>50000.0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2"/>
      <c r="E5" s="111">
        <v>116750.0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0"/>
      <c r="E10" s="111">
        <v>686650.0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1">
        <v>496413.0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1">
        <v>307830.0</v>
      </c>
      <c r="E12" s="108">
        <f>D11-D12</f>
        <v>188583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2"/>
      <c r="E13" s="111">
        <v>267565.0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2"/>
      <c r="E17" s="111">
        <v>200000.0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3"/>
      <c r="E18" s="114">
        <f>sum(E2:E17)</f>
        <v>2840782</v>
      </c>
      <c r="F18" s="43"/>
      <c r="G18" s="43"/>
      <c r="H18" s="43"/>
      <c r="I18" s="43"/>
      <c r="J18" s="43"/>
      <c r="K18" s="43"/>
      <c r="L18" s="43"/>
      <c r="M18" s="43"/>
      <c r="N18" s="43"/>
      <c r="O18" s="43"/>
      <c r="P18" s="43"/>
      <c r="Q18" s="43"/>
      <c r="R18" s="43"/>
      <c r="S18" s="43"/>
      <c r="T18" s="43"/>
      <c r="U18" s="43"/>
      <c r="V18" s="43"/>
      <c r="W18" s="43"/>
      <c r="X18" s="43"/>
      <c r="Y18" s="43"/>
      <c r="Z18" s="43"/>
    </row>
    <row r="19">
      <c r="A19" s="44" t="s">
        <v>164</v>
      </c>
      <c r="B19" s="115">
        <v>17.0</v>
      </c>
      <c r="C19" s="116" t="s">
        <v>165</v>
      </c>
      <c r="D19" s="117"/>
      <c r="E19" s="111">
        <v>266497.0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166</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167</v>
      </c>
      <c r="D21" s="117"/>
      <c r="E21" s="111">
        <v>1937888.0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168</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169</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170</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171</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172</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173</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174</v>
      </c>
      <c r="D28" s="125"/>
      <c r="E28" s="126">
        <f>sum(E19:E27)</f>
        <v>2204385</v>
      </c>
      <c r="F28" s="43"/>
      <c r="G28" s="43"/>
      <c r="H28" s="43"/>
      <c r="I28" s="43"/>
      <c r="J28" s="43"/>
      <c r="K28" s="43"/>
      <c r="L28" s="43"/>
      <c r="M28" s="43"/>
      <c r="N28" s="43"/>
      <c r="O28" s="43"/>
      <c r="P28" s="43"/>
      <c r="Q28" s="43"/>
      <c r="R28" s="43"/>
      <c r="S28" s="43"/>
      <c r="T28" s="43"/>
      <c r="U28" s="43"/>
      <c r="V28" s="43"/>
      <c r="W28" s="43"/>
      <c r="X28" s="43"/>
      <c r="Y28" s="43"/>
      <c r="Z28" s="43"/>
    </row>
    <row r="29">
      <c r="A29" s="65" t="s">
        <v>175</v>
      </c>
      <c r="B29" s="127"/>
      <c r="C29" s="128" t="s">
        <v>176</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177</v>
      </c>
      <c r="D30" s="117"/>
      <c r="E30" s="111">
        <v>283618.0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178</v>
      </c>
      <c r="D31" s="117"/>
      <c r="E31" s="111">
        <v>352779.0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179</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180</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181</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182</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183</v>
      </c>
      <c r="D36" s="131"/>
      <c r="E36" s="126">
        <f>sum(E30:E35)</f>
        <v>636397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184</v>
      </c>
      <c r="D37" s="135"/>
      <c r="E37" s="136">
        <f>E36+E28</f>
        <v>2840782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PEAK GRANTMAKING</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185</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186</v>
      </c>
      <c r="C3" s="144" t="s">
        <v>187</v>
      </c>
      <c r="D3" s="145">
        <f>'Expenses 2024'!C40</f>
        <v>7129646</v>
      </c>
      <c r="E3" s="146"/>
      <c r="F3" s="43"/>
      <c r="G3" s="43"/>
      <c r="H3" s="43"/>
      <c r="I3" s="43"/>
      <c r="J3" s="43"/>
      <c r="K3" s="43"/>
      <c r="L3" s="43"/>
      <c r="M3" s="43"/>
      <c r="N3" s="43"/>
      <c r="O3" s="43"/>
      <c r="P3" s="43"/>
      <c r="Q3" s="43"/>
      <c r="R3" s="43"/>
      <c r="S3" s="43"/>
      <c r="T3" s="43"/>
      <c r="U3" s="43"/>
      <c r="V3" s="43"/>
      <c r="W3" s="43"/>
      <c r="X3" s="43"/>
      <c r="Y3" s="43"/>
    </row>
    <row r="4">
      <c r="A4" s="138"/>
      <c r="B4" s="49"/>
      <c r="C4" s="144" t="s">
        <v>188</v>
      </c>
      <c r="D4" s="145">
        <f>'Expenses 2024'!C31</f>
        <v>100456</v>
      </c>
      <c r="E4" s="146"/>
      <c r="F4" s="43"/>
      <c r="G4" s="43"/>
      <c r="H4" s="43"/>
      <c r="I4" s="43"/>
      <c r="J4" s="43"/>
      <c r="K4" s="43"/>
      <c r="L4" s="43"/>
      <c r="M4" s="43"/>
      <c r="N4" s="43"/>
      <c r="O4" s="43"/>
      <c r="P4" s="43"/>
      <c r="Q4" s="43"/>
      <c r="R4" s="43"/>
      <c r="S4" s="43"/>
      <c r="T4" s="43"/>
      <c r="U4" s="43"/>
      <c r="V4" s="43"/>
      <c r="W4" s="43"/>
      <c r="X4" s="43"/>
      <c r="Y4" s="43"/>
    </row>
    <row r="5">
      <c r="A5" s="138"/>
      <c r="B5" s="49"/>
      <c r="C5" s="144" t="s">
        <v>189</v>
      </c>
      <c r="D5" s="145">
        <f>D3-D4</f>
        <v>7029190</v>
      </c>
      <c r="E5" s="146"/>
      <c r="F5" s="43"/>
      <c r="G5" s="43"/>
      <c r="H5" s="43"/>
      <c r="I5" s="43"/>
      <c r="J5" s="43"/>
      <c r="K5" s="43"/>
      <c r="L5" s="43"/>
      <c r="M5" s="43"/>
      <c r="N5" s="43"/>
      <c r="O5" s="43"/>
      <c r="P5" s="43"/>
      <c r="Q5" s="43"/>
      <c r="R5" s="43"/>
      <c r="S5" s="43"/>
      <c r="T5" s="43"/>
      <c r="U5" s="43"/>
      <c r="V5" s="43"/>
      <c r="W5" s="43"/>
      <c r="X5" s="43"/>
      <c r="Y5" s="43"/>
    </row>
    <row r="6">
      <c r="A6" s="138"/>
      <c r="B6" s="49"/>
      <c r="C6" s="144" t="s">
        <v>190</v>
      </c>
      <c r="D6" s="145">
        <f>D5/12</f>
        <v>585765.8333</v>
      </c>
      <c r="E6" s="146"/>
      <c r="F6" s="43"/>
      <c r="G6" s="43"/>
      <c r="H6" s="43"/>
      <c r="I6" s="43"/>
      <c r="J6" s="43"/>
      <c r="K6" s="43"/>
      <c r="L6" s="43"/>
      <c r="M6" s="43"/>
      <c r="N6" s="43"/>
      <c r="O6" s="43"/>
      <c r="P6" s="43"/>
      <c r="Q6" s="43"/>
      <c r="R6" s="43"/>
      <c r="S6" s="43"/>
      <c r="T6" s="43"/>
      <c r="U6" s="43"/>
      <c r="V6" s="43"/>
      <c r="W6" s="43"/>
      <c r="X6" s="43"/>
      <c r="Y6" s="43"/>
    </row>
    <row r="7">
      <c r="A7" s="138"/>
      <c r="B7" s="49"/>
      <c r="C7" s="144" t="s">
        <v>191</v>
      </c>
      <c r="D7" s="75">
        <f>'Balance Sheet 2024'!E2+'Balance Sheet 2024'!E3</f>
        <v>1331234</v>
      </c>
      <c r="E7" s="146"/>
      <c r="F7" s="43"/>
      <c r="G7" s="43"/>
      <c r="H7" s="43"/>
      <c r="I7" s="43"/>
      <c r="J7" s="43"/>
      <c r="K7" s="43"/>
      <c r="L7" s="43"/>
      <c r="M7" s="43"/>
      <c r="N7" s="43"/>
      <c r="O7" s="43"/>
      <c r="P7" s="43"/>
      <c r="Q7" s="43"/>
      <c r="R7" s="43"/>
      <c r="S7" s="43"/>
      <c r="T7" s="43"/>
      <c r="U7" s="43"/>
      <c r="V7" s="43"/>
      <c r="W7" s="43"/>
      <c r="X7" s="43"/>
      <c r="Y7" s="43"/>
    </row>
    <row r="8">
      <c r="A8" s="138"/>
      <c r="B8" s="49"/>
      <c r="C8" s="147" t="s">
        <v>185</v>
      </c>
      <c r="D8" s="148">
        <f>D7/D6</f>
        <v>2.272638526</v>
      </c>
      <c r="E8" s="149" t="s">
        <v>192</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193</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194</v>
      </c>
      <c r="C11" s="144" t="s">
        <v>195</v>
      </c>
      <c r="D11" s="75">
        <f>'Balance Sheet 2024'!E30</f>
        <v>283618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196</v>
      </c>
      <c r="D12" s="75">
        <f>'Expenses 2024'!C40</f>
        <v>7129646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197</v>
      </c>
      <c r="D13" s="145">
        <f>D12/12</f>
        <v>594137.1667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193</v>
      </c>
      <c r="D14" s="148">
        <f>D11/D13</f>
        <v>0.4773611481</v>
      </c>
      <c r="E14" s="149" t="s">
        <v>192</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198</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199</v>
      </c>
      <c r="C17" s="144" t="s">
        <v>200</v>
      </c>
      <c r="D17" s="75">
        <f>sum('Balance Sheet 2024'!E13:E15)</f>
        <v>267565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196</v>
      </c>
      <c r="D18" s="75">
        <f>'Expenses 2024'!C40</f>
        <v>7129646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197</v>
      </c>
      <c r="D19" s="145">
        <f>D18/12</f>
        <v>594137.1667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201</v>
      </c>
      <c r="D20" s="148">
        <f>D17/D19</f>
        <v>0.4503421348</v>
      </c>
      <c r="E20" s="149" t="s">
        <v>192</v>
      </c>
      <c r="F20" s="43"/>
      <c r="G20" s="43"/>
      <c r="H20" s="43"/>
      <c r="I20" s="43"/>
      <c r="J20" s="43"/>
      <c r="K20" s="43"/>
      <c r="L20" s="43"/>
      <c r="M20" s="43"/>
      <c r="N20" s="43"/>
      <c r="O20" s="43"/>
      <c r="P20" s="43"/>
      <c r="Q20" s="43"/>
      <c r="R20" s="43"/>
      <c r="S20" s="43"/>
      <c r="T20" s="43"/>
      <c r="U20" s="43"/>
      <c r="V20" s="43"/>
      <c r="W20" s="43"/>
      <c r="X20" s="43"/>
      <c r="Y20" s="43"/>
    </row>
    <row r="21">
      <c r="A21" s="138"/>
      <c r="B21" s="49"/>
      <c r="C21" s="153" t="s">
        <v>202</v>
      </c>
      <c r="D21" s="154">
        <f>D20+D8</f>
        <v>2.722980661</v>
      </c>
      <c r="E21" s="155" t="s">
        <v>192</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203</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204</v>
      </c>
      <c r="C24" s="159"/>
      <c r="D24" s="160">
        <f>max('Revenues 2024'!E2:E7,'Revenues 2024'!F10:F15)</f>
        <v>1551737</v>
      </c>
      <c r="E24" s="161" t="s">
        <v>205</v>
      </c>
      <c r="F24" s="43"/>
      <c r="G24" s="43"/>
      <c r="H24" s="43"/>
      <c r="I24" s="43"/>
      <c r="J24" s="43"/>
      <c r="K24" s="43"/>
      <c r="L24" s="43"/>
      <c r="M24" s="43"/>
      <c r="N24" s="43"/>
      <c r="O24" s="43"/>
      <c r="P24" s="43"/>
      <c r="Q24" s="43"/>
      <c r="R24" s="43"/>
      <c r="S24" s="43"/>
      <c r="T24" s="43"/>
      <c r="U24" s="43"/>
      <c r="V24" s="43"/>
      <c r="W24" s="43"/>
      <c r="X24" s="43"/>
      <c r="Y24" s="43"/>
    </row>
    <row r="25">
      <c r="A25" s="138"/>
      <c r="B25" s="49"/>
      <c r="C25" s="144" t="s">
        <v>206</v>
      </c>
      <c r="D25" s="145">
        <f>'Revenues 2024'!F44</f>
        <v>5320383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203</v>
      </c>
      <c r="D26" s="162">
        <f>D24/D25</f>
        <v>0.29165889</v>
      </c>
      <c r="E26" s="149" t="s">
        <v>207</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208</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209</v>
      </c>
      <c r="C29" s="144" t="s">
        <v>210</v>
      </c>
      <c r="D29" s="75">
        <f>SUM('Expenses 2024'!C7:C9)</f>
        <v>2745202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211</v>
      </c>
      <c r="D30" s="75">
        <f>SUM('Expenses 2024'!C10:C12)</f>
        <v>578902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212</v>
      </c>
      <c r="D31" s="75">
        <f>sum(D29:D30)</f>
        <v>3324104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187</v>
      </c>
      <c r="D32" s="75">
        <f>'Expenses 2024'!C40</f>
        <v>7129646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213</v>
      </c>
      <c r="D33" s="162">
        <f>D31/D32</f>
        <v>0.4662368931</v>
      </c>
      <c r="E33" s="149" t="s">
        <v>214</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215</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216</v>
      </c>
      <c r="C36" s="144" t="s">
        <v>217</v>
      </c>
      <c r="D36" s="75">
        <f>SUM('Expenses 2024'!C10:C11)</f>
        <v>382268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210</v>
      </c>
      <c r="D37" s="75">
        <f>SUM('Expenses 2024'!C7:C9)</f>
        <v>2745202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215</v>
      </c>
      <c r="D38" s="162">
        <f>D36/D37</f>
        <v>0.1392494979</v>
      </c>
      <c r="E38" s="149" t="s">
        <v>218</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219</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220</v>
      </c>
      <c r="C41" s="147" t="s">
        <v>252</v>
      </c>
      <c r="D41" s="75">
        <f>'Expenses 2024'!D40</f>
        <v>4511118</v>
      </c>
      <c r="E41" s="164">
        <f t="shared" ref="E41:E44" si="1">D41/$D$44</f>
        <v>0.6327267862</v>
      </c>
      <c r="F41" s="43"/>
      <c r="G41" s="43"/>
      <c r="H41" s="43"/>
      <c r="I41" s="43"/>
      <c r="J41" s="43"/>
      <c r="K41" s="43"/>
      <c r="L41" s="43"/>
      <c r="M41" s="43"/>
      <c r="N41" s="43"/>
      <c r="O41" s="43"/>
      <c r="P41" s="43"/>
      <c r="Q41" s="43"/>
      <c r="R41" s="43"/>
      <c r="S41" s="43"/>
      <c r="T41" s="43"/>
      <c r="U41" s="43"/>
      <c r="V41" s="43"/>
      <c r="W41" s="43"/>
      <c r="X41" s="43"/>
      <c r="Y41" s="43"/>
    </row>
    <row r="42">
      <c r="A42" s="138"/>
      <c r="B42" s="49"/>
      <c r="C42" s="147" t="s">
        <v>222</v>
      </c>
      <c r="D42" s="145">
        <f>'Expenses 2024'!E40</f>
        <v>2395654</v>
      </c>
      <c r="E42" s="164">
        <f t="shared" si="1"/>
        <v>0.3360130363</v>
      </c>
      <c r="F42" s="43"/>
      <c r="G42" s="43"/>
      <c r="H42" s="43"/>
      <c r="I42" s="43"/>
      <c r="J42" s="43"/>
      <c r="K42" s="43"/>
      <c r="L42" s="43"/>
      <c r="M42" s="43"/>
      <c r="N42" s="43"/>
      <c r="O42" s="43"/>
      <c r="P42" s="43"/>
      <c r="Q42" s="43"/>
      <c r="R42" s="43"/>
      <c r="S42" s="43"/>
      <c r="T42" s="43"/>
      <c r="U42" s="43"/>
      <c r="V42" s="43"/>
      <c r="W42" s="43"/>
      <c r="X42" s="43"/>
      <c r="Y42" s="43"/>
    </row>
    <row r="43">
      <c r="A43" s="138"/>
      <c r="B43" s="49"/>
      <c r="C43" s="147" t="s">
        <v>223</v>
      </c>
      <c r="D43" s="145">
        <f>'Expenses 2024'!F40</f>
        <v>222874</v>
      </c>
      <c r="E43" s="164">
        <f t="shared" si="1"/>
        <v>0.03126017757</v>
      </c>
      <c r="F43" s="43"/>
      <c r="G43" s="43"/>
      <c r="H43" s="43"/>
      <c r="I43" s="43"/>
      <c r="J43" s="43"/>
      <c r="K43" s="43"/>
      <c r="L43" s="43"/>
      <c r="M43" s="43"/>
      <c r="N43" s="43"/>
      <c r="O43" s="43"/>
      <c r="P43" s="43"/>
      <c r="Q43" s="43"/>
      <c r="R43" s="43"/>
      <c r="S43" s="43"/>
      <c r="T43" s="43"/>
      <c r="U43" s="43"/>
      <c r="V43" s="43"/>
      <c r="W43" s="43"/>
      <c r="X43" s="43"/>
      <c r="Y43" s="43"/>
    </row>
    <row r="44">
      <c r="A44" s="138"/>
      <c r="B44" s="49"/>
      <c r="C44" s="144" t="s">
        <v>187</v>
      </c>
      <c r="D44" s="145">
        <f>sum(D41:D43)</f>
        <v>7129646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224</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225</v>
      </c>
      <c r="C47" s="144" t="s">
        <v>226</v>
      </c>
      <c r="D47" s="145">
        <f>'Revenues 2024'!F9</f>
        <v>2714248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227</v>
      </c>
      <c r="D48" s="145">
        <f>'Expenses 2024'!F40</f>
        <v>222874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228</v>
      </c>
      <c r="D49" s="165">
        <f>if(D48=0, "$0",D47/D48)</f>
        <v>12.17839676</v>
      </c>
      <c r="E49" s="149" t="s">
        <v>229</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230</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231</v>
      </c>
      <c r="C52" s="144" t="s">
        <v>232</v>
      </c>
      <c r="D52" s="145">
        <f>sum('Balance Sheet 2024'!E2:E10)</f>
        <v>2184634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233</v>
      </c>
      <c r="D53" s="145">
        <f>sum('Balance Sheet 2024'!E19:E22)</f>
        <v>2204385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234</v>
      </c>
      <c r="D54" s="167">
        <f>D52/D53</f>
        <v>0.9910401314</v>
      </c>
      <c r="E54" s="149" t="s">
        <v>235</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236</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237</v>
      </c>
      <c r="C57" s="144" t="s">
        <v>238</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239</v>
      </c>
      <c r="D58" s="145">
        <f>'Balance Sheet 2024'!E18</f>
        <v>2840782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240</v>
      </c>
      <c r="D59" s="168">
        <f>D57/D58</f>
        <v>0</v>
      </c>
      <c r="E59" s="149" t="s">
        <v>241</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PEAK GRANTMAKING</v>
      </c>
      <c r="B1" s="2" t="s">
        <v>253</v>
      </c>
      <c r="C1" s="138"/>
      <c r="D1" s="138"/>
      <c r="E1" s="138"/>
      <c r="F1" s="139"/>
      <c r="G1" s="139"/>
      <c r="H1" s="139"/>
      <c r="I1" s="43"/>
      <c r="J1" s="43"/>
      <c r="K1" s="43"/>
      <c r="L1" s="43"/>
      <c r="M1" s="43"/>
      <c r="N1" s="43"/>
      <c r="O1" s="43"/>
      <c r="P1" s="43"/>
      <c r="Q1" s="43"/>
      <c r="R1" s="43"/>
      <c r="S1" s="43"/>
      <c r="T1" s="43"/>
      <c r="U1" s="43"/>
      <c r="V1" s="43"/>
      <c r="W1" s="43"/>
      <c r="X1" s="43"/>
      <c r="Y1" s="43"/>
    </row>
    <row r="2">
      <c r="A2" s="140" t="s">
        <v>185</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186</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254</v>
      </c>
      <c r="E4" s="45" t="s">
        <v>255</v>
      </c>
      <c r="F4" s="45" t="s">
        <v>256</v>
      </c>
      <c r="G4" s="59" t="s">
        <v>257</v>
      </c>
      <c r="H4" s="59"/>
      <c r="I4" s="43"/>
      <c r="J4" s="43"/>
      <c r="K4" s="43"/>
      <c r="L4" s="43"/>
      <c r="M4" s="43"/>
      <c r="N4" s="43"/>
      <c r="O4" s="43"/>
      <c r="P4" s="43"/>
      <c r="Q4" s="43"/>
      <c r="R4" s="43"/>
      <c r="S4" s="43"/>
      <c r="T4" s="43"/>
      <c r="U4" s="43"/>
      <c r="V4" s="43"/>
      <c r="W4" s="43"/>
      <c r="X4" s="43"/>
      <c r="Y4" s="43"/>
    </row>
    <row r="5">
      <c r="A5" s="138"/>
      <c r="B5" s="49"/>
      <c r="C5" s="147" t="s">
        <v>185</v>
      </c>
      <c r="D5" s="176">
        <f>'Ratios 2022'!D8</f>
        <v>14.79938184</v>
      </c>
      <c r="E5" s="176">
        <f>'Ratios 2023'!D8</f>
        <v>3.417133542</v>
      </c>
      <c r="F5" s="176">
        <f>'Ratios 2024'!D8</f>
        <v>2.272638526</v>
      </c>
      <c r="G5" s="176">
        <f>average(D5:F5)</f>
        <v>6.829717968</v>
      </c>
      <c r="H5" s="149" t="s">
        <v>192</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193</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194</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254</v>
      </c>
      <c r="E9" s="45" t="s">
        <v>255</v>
      </c>
      <c r="F9" s="45" t="s">
        <v>256</v>
      </c>
      <c r="G9" s="59" t="s">
        <v>257</v>
      </c>
      <c r="H9" s="59"/>
      <c r="I9" s="43"/>
      <c r="J9" s="43"/>
      <c r="K9" s="43"/>
      <c r="L9" s="43"/>
      <c r="M9" s="43"/>
      <c r="N9" s="43"/>
      <c r="O9" s="43"/>
      <c r="P9" s="43"/>
      <c r="Q9" s="43"/>
      <c r="R9" s="43"/>
      <c r="S9" s="43"/>
      <c r="T9" s="43"/>
      <c r="U9" s="43"/>
      <c r="V9" s="43"/>
      <c r="W9" s="43"/>
      <c r="X9" s="43"/>
      <c r="Y9" s="43"/>
    </row>
    <row r="10">
      <c r="A10" s="138"/>
      <c r="B10" s="49"/>
      <c r="C10" s="147" t="s">
        <v>193</v>
      </c>
      <c r="D10" s="148">
        <f>'Ratios 2022'!D14</f>
        <v>15.83800039</v>
      </c>
      <c r="E10" s="148">
        <f>'Ratios 2023'!D14</f>
        <v>3.335499706</v>
      </c>
      <c r="F10" s="148">
        <f>'Ratios 2024'!D14</f>
        <v>0.4773611481</v>
      </c>
      <c r="G10" s="176">
        <f>average(D10:F10)</f>
        <v>6.550287082</v>
      </c>
      <c r="H10" s="149" t="s">
        <v>192</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198</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199</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254</v>
      </c>
      <c r="E14" s="45" t="s">
        <v>255</v>
      </c>
      <c r="F14" s="45" t="s">
        <v>256</v>
      </c>
      <c r="G14" s="59" t="s">
        <v>257</v>
      </c>
      <c r="H14" s="59"/>
      <c r="I14" s="43"/>
      <c r="J14" s="43"/>
      <c r="K14" s="43"/>
      <c r="L14" s="43"/>
      <c r="M14" s="43"/>
      <c r="N14" s="43"/>
      <c r="O14" s="43"/>
      <c r="P14" s="43"/>
      <c r="Q14" s="43"/>
      <c r="R14" s="43"/>
      <c r="S14" s="43"/>
      <c r="T14" s="43"/>
      <c r="U14" s="43"/>
      <c r="V14" s="43"/>
      <c r="W14" s="43"/>
      <c r="X14" s="43"/>
      <c r="Y14" s="43"/>
    </row>
    <row r="15">
      <c r="A15" s="138"/>
      <c r="B15" s="49"/>
      <c r="C15" s="147" t="s">
        <v>201</v>
      </c>
      <c r="D15" s="179">
        <f>'Ratios 2022'!D20</f>
        <v>4.049295636</v>
      </c>
      <c r="E15" s="179">
        <f>'Ratios 2023'!D20</f>
        <v>2.397243972</v>
      </c>
      <c r="F15" s="179">
        <f>'Ratios 2024'!D20</f>
        <v>0.4503421348</v>
      </c>
      <c r="G15" s="176">
        <f>average(D15:F15)</f>
        <v>2.298960581</v>
      </c>
      <c r="H15" s="149" t="s">
        <v>192</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203</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204</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254</v>
      </c>
      <c r="E19" s="45" t="s">
        <v>255</v>
      </c>
      <c r="F19" s="45" t="s">
        <v>256</v>
      </c>
      <c r="G19" s="59" t="s">
        <v>257</v>
      </c>
      <c r="H19" s="59"/>
      <c r="I19" s="43"/>
      <c r="J19" s="43"/>
      <c r="K19" s="43"/>
      <c r="L19" s="43"/>
      <c r="M19" s="43"/>
      <c r="N19" s="43"/>
      <c r="O19" s="43"/>
      <c r="P19" s="43"/>
      <c r="Q19" s="43"/>
      <c r="R19" s="43"/>
      <c r="S19" s="43"/>
      <c r="T19" s="43"/>
      <c r="U19" s="43"/>
      <c r="V19" s="43"/>
      <c r="W19" s="43"/>
      <c r="X19" s="43"/>
      <c r="Y19" s="43"/>
    </row>
    <row r="20">
      <c r="A20" s="138"/>
      <c r="B20" s="49"/>
      <c r="C20" s="147" t="s">
        <v>203</v>
      </c>
      <c r="D20" s="162">
        <f>'Ratios 2022'!D26</f>
        <v>0.4442254814</v>
      </c>
      <c r="E20" s="162">
        <f>'Ratios 2023'!D26</f>
        <v>0.3407074813</v>
      </c>
      <c r="F20" s="162">
        <f>'Ratios 2024'!D26</f>
        <v>0.29165889</v>
      </c>
      <c r="G20" s="180">
        <f>average(D20:F20)</f>
        <v>0.3588639509</v>
      </c>
      <c r="H20" s="149" t="s">
        <v>207</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208</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209</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254</v>
      </c>
      <c r="E24" s="45" t="s">
        <v>255</v>
      </c>
      <c r="F24" s="45" t="s">
        <v>256</v>
      </c>
      <c r="G24" s="59" t="s">
        <v>257</v>
      </c>
      <c r="H24" s="59"/>
      <c r="I24" s="43"/>
      <c r="J24" s="43"/>
      <c r="K24" s="43"/>
      <c r="L24" s="43"/>
      <c r="M24" s="43"/>
      <c r="N24" s="43"/>
      <c r="O24" s="43"/>
      <c r="P24" s="43"/>
      <c r="Q24" s="43"/>
      <c r="R24" s="43"/>
      <c r="S24" s="43"/>
      <c r="T24" s="43"/>
      <c r="U24" s="43"/>
      <c r="V24" s="43"/>
      <c r="W24" s="43"/>
      <c r="X24" s="43"/>
      <c r="Y24" s="43"/>
    </row>
    <row r="25">
      <c r="A25" s="138"/>
      <c r="B25" s="49"/>
      <c r="C25" s="147" t="s">
        <v>213</v>
      </c>
      <c r="D25" s="162">
        <f>'Ratios 2022'!D33</f>
        <v>0.5861171177</v>
      </c>
      <c r="E25" s="162">
        <f>'Ratios 2023'!D33</f>
        <v>0.4289325676</v>
      </c>
      <c r="F25" s="162">
        <f>'Ratios 2024'!D33</f>
        <v>0.4662368931</v>
      </c>
      <c r="G25" s="180">
        <f>average(D25:F25)</f>
        <v>0.4937621928</v>
      </c>
      <c r="H25" s="149" t="s">
        <v>214</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215</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216</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254</v>
      </c>
      <c r="E29" s="45" t="s">
        <v>255</v>
      </c>
      <c r="F29" s="45" t="s">
        <v>256</v>
      </c>
      <c r="G29" s="59" t="s">
        <v>257</v>
      </c>
      <c r="H29" s="59"/>
      <c r="I29" s="43"/>
      <c r="J29" s="43"/>
      <c r="K29" s="43"/>
      <c r="L29" s="43"/>
      <c r="M29" s="43"/>
      <c r="N29" s="43"/>
      <c r="O29" s="43"/>
      <c r="P29" s="43"/>
      <c r="Q29" s="43"/>
      <c r="R29" s="43"/>
      <c r="S29" s="43"/>
      <c r="T29" s="43"/>
      <c r="U29" s="43"/>
      <c r="V29" s="43"/>
      <c r="W29" s="43"/>
      <c r="X29" s="43"/>
      <c r="Y29" s="43"/>
    </row>
    <row r="30">
      <c r="A30" s="138"/>
      <c r="B30" s="49"/>
      <c r="C30" s="147" t="s">
        <v>215</v>
      </c>
      <c r="D30" s="162">
        <f>'Ratios 2022'!D38</f>
        <v>0.1159422071</v>
      </c>
      <c r="E30" s="162">
        <f>'Ratios 2023'!D38</f>
        <v>0.1539981153</v>
      </c>
      <c r="F30" s="162">
        <f>'Ratios 2024'!D38</f>
        <v>0.1392494979</v>
      </c>
      <c r="G30" s="180">
        <f>average(D30:F30)</f>
        <v>0.1363966068</v>
      </c>
      <c r="H30" s="149" t="s">
        <v>218</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219</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220</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254</v>
      </c>
      <c r="E34" s="45" t="s">
        <v>255</v>
      </c>
      <c r="F34" s="45" t="s">
        <v>256</v>
      </c>
      <c r="G34" s="59" t="s">
        <v>257</v>
      </c>
      <c r="H34" s="59"/>
      <c r="I34" s="43"/>
      <c r="J34" s="43"/>
      <c r="K34" s="43"/>
      <c r="L34" s="43"/>
      <c r="M34" s="43"/>
      <c r="N34" s="43"/>
      <c r="O34" s="43"/>
      <c r="P34" s="43"/>
      <c r="Q34" s="43"/>
      <c r="R34" s="43"/>
      <c r="S34" s="43"/>
      <c r="T34" s="43"/>
      <c r="U34" s="43"/>
      <c r="V34" s="43"/>
      <c r="W34" s="43"/>
      <c r="X34" s="43"/>
      <c r="Y34" s="43"/>
    </row>
    <row r="35">
      <c r="A35" s="138"/>
      <c r="B35" s="49"/>
      <c r="C35" s="147" t="s">
        <v>258</v>
      </c>
      <c r="D35" s="162">
        <f>'Ratios 2022'!E41</f>
        <v>0.6922489942</v>
      </c>
      <c r="E35" s="162">
        <f>'Ratios 2023'!E41</f>
        <v>0.6107184236</v>
      </c>
      <c r="F35" s="162">
        <f>'Ratios 2024'!E41</f>
        <v>0.6327267862</v>
      </c>
      <c r="G35" s="180">
        <f t="shared" ref="G35:G37" si="1">average(D35:F35)</f>
        <v>0.6452314013</v>
      </c>
      <c r="H35" s="180"/>
      <c r="I35" s="43"/>
      <c r="J35" s="43"/>
      <c r="K35" s="43"/>
      <c r="L35" s="43"/>
      <c r="M35" s="43"/>
      <c r="N35" s="43"/>
      <c r="O35" s="43"/>
      <c r="P35" s="43"/>
      <c r="Q35" s="43"/>
      <c r="R35" s="43"/>
      <c r="S35" s="43"/>
      <c r="T35" s="43"/>
      <c r="U35" s="43"/>
      <c r="V35" s="43"/>
      <c r="W35" s="43"/>
      <c r="X35" s="43"/>
      <c r="Y35" s="43"/>
    </row>
    <row r="36">
      <c r="A36" s="138"/>
      <c r="B36" s="52"/>
      <c r="C36" s="147" t="s">
        <v>222</v>
      </c>
      <c r="D36" s="162">
        <f>'Ratios 2022'!E42</f>
        <v>0.2423591359</v>
      </c>
      <c r="E36" s="162">
        <f>'Ratios 2023'!E42</f>
        <v>0.3675265679</v>
      </c>
      <c r="F36" s="162">
        <f>'Ratios 2024'!E42</f>
        <v>0.3360130363</v>
      </c>
      <c r="G36" s="180">
        <f t="shared" si="1"/>
        <v>0.31529958</v>
      </c>
      <c r="H36" s="180"/>
      <c r="I36" s="43"/>
      <c r="J36" s="43"/>
      <c r="K36" s="43"/>
      <c r="L36" s="43"/>
      <c r="M36" s="43"/>
      <c r="N36" s="43"/>
      <c r="O36" s="43"/>
      <c r="P36" s="43"/>
      <c r="Q36" s="43"/>
      <c r="R36" s="43"/>
      <c r="S36" s="43"/>
      <c r="T36" s="43"/>
      <c r="U36" s="43"/>
      <c r="V36" s="43"/>
      <c r="W36" s="43"/>
      <c r="X36" s="43"/>
      <c r="Y36" s="43"/>
    </row>
    <row r="37">
      <c r="A37" s="138"/>
      <c r="B37" s="181"/>
      <c r="C37" s="147" t="s">
        <v>223</v>
      </c>
      <c r="D37" s="162">
        <f>'Ratios 2022'!E43</f>
        <v>0.06539186985</v>
      </c>
      <c r="E37" s="162">
        <f>'Ratios 2023'!E43</f>
        <v>0.02175500851</v>
      </c>
      <c r="F37" s="162">
        <f>'Ratios 2024'!E43</f>
        <v>0.03126017757</v>
      </c>
      <c r="G37" s="180">
        <f t="shared" si="1"/>
        <v>0.03946901865</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224</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225</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254</v>
      </c>
      <c r="E41" s="45" t="s">
        <v>255</v>
      </c>
      <c r="F41" s="45" t="s">
        <v>256</v>
      </c>
      <c r="G41" s="59" t="s">
        <v>257</v>
      </c>
      <c r="H41" s="59"/>
      <c r="I41" s="43"/>
      <c r="J41" s="43"/>
      <c r="K41" s="43"/>
      <c r="L41" s="43"/>
      <c r="M41" s="43"/>
      <c r="N41" s="43"/>
      <c r="O41" s="43"/>
      <c r="P41" s="43"/>
      <c r="Q41" s="43"/>
      <c r="R41" s="43"/>
      <c r="S41" s="43"/>
      <c r="T41" s="43"/>
      <c r="U41" s="43"/>
      <c r="V41" s="43"/>
      <c r="W41" s="43"/>
      <c r="X41" s="43"/>
      <c r="Y41" s="43"/>
    </row>
    <row r="42">
      <c r="A42" s="138"/>
      <c r="B42" s="49"/>
      <c r="C42" s="147" t="s">
        <v>228</v>
      </c>
      <c r="D42" s="165">
        <f>'Ratios 2022'!D49</f>
        <v>14.8034429</v>
      </c>
      <c r="E42" s="165">
        <f>'Ratios 2023'!D49</f>
        <v>11.35500735</v>
      </c>
      <c r="F42" s="165">
        <f>'Ratios 2024'!D49</f>
        <v>12.17839676</v>
      </c>
      <c r="G42" s="182">
        <f>average(D42:F42)</f>
        <v>12.778949</v>
      </c>
      <c r="H42" s="149" t="s">
        <v>229</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230</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231</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254</v>
      </c>
      <c r="E46" s="45" t="s">
        <v>255</v>
      </c>
      <c r="F46" s="45" t="s">
        <v>256</v>
      </c>
      <c r="G46" s="59" t="s">
        <v>257</v>
      </c>
      <c r="H46" s="59"/>
      <c r="I46" s="43"/>
      <c r="J46" s="43"/>
      <c r="K46" s="43"/>
      <c r="L46" s="43"/>
      <c r="M46" s="43"/>
      <c r="N46" s="43"/>
      <c r="O46" s="43"/>
      <c r="P46" s="43"/>
      <c r="Q46" s="43"/>
      <c r="R46" s="43"/>
      <c r="S46" s="43"/>
      <c r="T46" s="43"/>
      <c r="U46" s="43"/>
      <c r="V46" s="43"/>
      <c r="W46" s="43"/>
      <c r="X46" s="43"/>
      <c r="Y46" s="43"/>
    </row>
    <row r="47">
      <c r="A47" s="138"/>
      <c r="B47" s="49"/>
      <c r="C47" s="147" t="s">
        <v>234</v>
      </c>
      <c r="D47" s="148">
        <f>'Ratios 2022'!D54</f>
        <v>10.73151556</v>
      </c>
      <c r="E47" s="148">
        <f>'Ratios 2023'!D54</f>
        <v>1.944110254</v>
      </c>
      <c r="F47" s="148">
        <f>'Ratios 2024'!D54</f>
        <v>0.9910401314</v>
      </c>
      <c r="G47" s="176">
        <f>average(D47:F47)</f>
        <v>4.555555316</v>
      </c>
      <c r="H47" s="149" t="s">
        <v>235</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236</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237</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254</v>
      </c>
      <c r="E51" s="45" t="s">
        <v>255</v>
      </c>
      <c r="F51" s="45" t="s">
        <v>256</v>
      </c>
      <c r="G51" s="59" t="s">
        <v>257</v>
      </c>
      <c r="H51" s="59"/>
      <c r="I51" s="43"/>
      <c r="J51" s="43"/>
      <c r="K51" s="43"/>
      <c r="L51" s="43"/>
      <c r="M51" s="43"/>
      <c r="N51" s="43"/>
      <c r="O51" s="43"/>
      <c r="P51" s="43"/>
      <c r="Q51" s="43"/>
      <c r="R51" s="43"/>
      <c r="S51" s="43"/>
      <c r="T51" s="43"/>
      <c r="U51" s="43"/>
      <c r="V51" s="43"/>
      <c r="W51" s="43"/>
      <c r="X51" s="43"/>
      <c r="Y51" s="43"/>
    </row>
    <row r="52">
      <c r="A52" s="138"/>
      <c r="B52" s="49"/>
      <c r="C52" s="147" t="s">
        <v>240</v>
      </c>
      <c r="D52" s="183">
        <f>'Ratios 2022'!D59</f>
        <v>0</v>
      </c>
      <c r="E52" s="183">
        <f>'Ratios 2023'!D59</f>
        <v>0</v>
      </c>
      <c r="F52" s="183">
        <f>'Ratios 2024'!D59</f>
        <v>0</v>
      </c>
      <c r="G52" s="184">
        <f>average(D52:F52)</f>
        <v>0</v>
      </c>
      <c r="H52" s="149" t="s">
        <v>241</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PEAK GRANTMAKING</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PEAK GRANTMAKING</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1310336.0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132500.0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1907494.0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3350330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387833.0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270040.0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123700.0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83724.0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48000.0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913297</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27736.0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83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45.0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45</v>
      </c>
      <c r="G38" s="43"/>
      <c r="H38" s="43"/>
      <c r="I38" s="43"/>
      <c r="J38" s="43"/>
      <c r="K38" s="43"/>
      <c r="L38" s="43"/>
      <c r="M38" s="43"/>
      <c r="N38" s="43"/>
      <c r="O38" s="43"/>
      <c r="P38" s="43"/>
      <c r="Q38" s="43"/>
      <c r="R38" s="43"/>
      <c r="S38" s="43"/>
      <c r="T38" s="43"/>
      <c r="U38" s="43"/>
      <c r="V38" s="43"/>
      <c r="W38" s="43"/>
      <c r="X38" s="43"/>
      <c r="Y38" s="43"/>
      <c r="Z38" s="43"/>
    </row>
    <row r="39">
      <c r="A39" s="49"/>
      <c r="B39" s="45" t="s">
        <v>99</v>
      </c>
      <c r="C39" s="83" t="s">
        <v>100</v>
      </c>
      <c r="D39" s="74"/>
      <c r="E39" s="48">
        <v>2569.0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2569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4293977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PEAK GRANTMAKING</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509771</v>
      </c>
      <c r="D7" s="99">
        <v>254886.0</v>
      </c>
      <c r="E7" s="99">
        <v>254885.0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113</v>
      </c>
      <c r="C9" s="98">
        <f t="shared" si="1"/>
        <v>1199227</v>
      </c>
      <c r="D9" s="99">
        <v>914337.0</v>
      </c>
      <c r="E9" s="99">
        <v>194973.0</v>
      </c>
      <c r="F9" s="99">
        <v>89917.0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21356</v>
      </c>
      <c r="D10" s="99">
        <v>17539.0</v>
      </c>
      <c r="E10" s="99">
        <v>1857.0</v>
      </c>
      <c r="F10" s="99">
        <v>1960.0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176789</v>
      </c>
      <c r="D11" s="99">
        <v>128774.0</v>
      </c>
      <c r="E11" s="99">
        <v>36478.0</v>
      </c>
      <c r="F11" s="99">
        <v>11537.0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121406</v>
      </c>
      <c r="D12" s="99">
        <v>83745.0</v>
      </c>
      <c r="E12" s="99">
        <v>31078.0</v>
      </c>
      <c r="F12" s="99">
        <v>6583.0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175064</v>
      </c>
      <c r="D16" s="99">
        <v>0.0</v>
      </c>
      <c r="E16" s="99">
        <v>175064.0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438557</v>
      </c>
      <c r="D20" s="99">
        <v>114806.0</v>
      </c>
      <c r="E20" s="99">
        <v>278242.0</v>
      </c>
      <c r="F20" s="99">
        <v>45509.0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5850</v>
      </c>
      <c r="D21" s="99">
        <v>1531.0</v>
      </c>
      <c r="E21" s="99">
        <v>3712.0</v>
      </c>
      <c r="F21" s="99">
        <v>607.0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95341</v>
      </c>
      <c r="D22" s="99">
        <v>16428.0</v>
      </c>
      <c r="E22" s="99">
        <v>78913.0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260610</v>
      </c>
      <c r="D23" s="99">
        <v>121258.0</v>
      </c>
      <c r="E23" s="99">
        <v>132091.0</v>
      </c>
      <c r="F23" s="99">
        <v>7261.0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4990</v>
      </c>
      <c r="D25" s="99">
        <v>0.0</v>
      </c>
      <c r="E25" s="99">
        <v>4990.0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178296</v>
      </c>
      <c r="D26" s="99">
        <v>9700.0</v>
      </c>
      <c r="E26" s="99">
        <v>168596.0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76135</v>
      </c>
      <c r="D28" s="99">
        <v>51764.0</v>
      </c>
      <c r="E28" s="99">
        <v>24371.0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19189</v>
      </c>
      <c r="D31" s="99">
        <v>222.0</v>
      </c>
      <c r="E31" s="99">
        <v>18967.0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33545</v>
      </c>
      <c r="D32" s="99">
        <v>0.0</v>
      </c>
      <c r="E32" s="99">
        <v>33545.0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138</v>
      </c>
      <c r="C34" s="98">
        <f t="shared" si="1"/>
        <v>125072</v>
      </c>
      <c r="D34" s="99">
        <v>7856.0</v>
      </c>
      <c r="E34" s="99">
        <v>117216.0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19021</v>
      </c>
      <c r="D35" s="99">
        <v>8348.0</v>
      </c>
      <c r="E35" s="99">
        <v>10673.0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140</v>
      </c>
      <c r="C36" s="98">
        <f t="shared" si="1"/>
        <v>777</v>
      </c>
      <c r="D36" s="99">
        <v>0.0</v>
      </c>
      <c r="E36" s="99">
        <v>777.0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141</v>
      </c>
      <c r="C37" s="98">
        <f t="shared" si="1"/>
        <v>0</v>
      </c>
      <c r="D37" s="99">
        <v>664677.0</v>
      </c>
      <c r="E37" s="99">
        <v>-727624.0</v>
      </c>
      <c r="F37" s="99">
        <v>62947.0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3">
        <f t="shared" ref="C40:F40" si="2">sum(C3:C39)</f>
        <v>3460996</v>
      </c>
      <c r="D40" s="103">
        <f t="shared" si="2"/>
        <v>2395871</v>
      </c>
      <c r="E40" s="103">
        <f t="shared" si="2"/>
        <v>838804</v>
      </c>
      <c r="F40" s="103">
        <f t="shared" si="2"/>
        <v>226321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PEAK GRANTMAKING</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144</v>
      </c>
      <c r="B2" s="45">
        <v>1.0</v>
      </c>
      <c r="C2" s="46" t="s">
        <v>145</v>
      </c>
      <c r="D2" s="110"/>
      <c r="E2" s="111">
        <v>3742161.0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2"/>
      <c r="E3" s="111">
        <v>502557.0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0"/>
      <c r="E4" s="111">
        <v>253000.0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2"/>
      <c r="E5" s="111">
        <v>91000.0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0"/>
      <c r="E10" s="111">
        <v>131464.0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1">
        <v>222549.0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1">
        <v>186432.0</v>
      </c>
      <c r="E12" s="108">
        <f>D11-D12</f>
        <v>36117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2"/>
      <c r="E13" s="111">
        <v>1167883.0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2"/>
      <c r="E17" s="111">
        <v>3100.0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3"/>
      <c r="E18" s="114">
        <f>sum(E2:E17)</f>
        <v>5927282</v>
      </c>
      <c r="F18" s="43"/>
      <c r="G18" s="43"/>
      <c r="H18" s="43"/>
      <c r="I18" s="43"/>
      <c r="J18" s="43"/>
      <c r="K18" s="43"/>
      <c r="L18" s="43"/>
      <c r="M18" s="43"/>
      <c r="N18" s="43"/>
      <c r="O18" s="43"/>
      <c r="P18" s="43"/>
      <c r="Q18" s="43"/>
      <c r="R18" s="43"/>
      <c r="S18" s="43"/>
      <c r="T18" s="43"/>
      <c r="U18" s="43"/>
      <c r="V18" s="43"/>
      <c r="W18" s="43"/>
      <c r="X18" s="43"/>
      <c r="Y18" s="43"/>
      <c r="Z18" s="43"/>
    </row>
    <row r="19">
      <c r="A19" s="44" t="s">
        <v>164</v>
      </c>
      <c r="B19" s="115">
        <v>17.0</v>
      </c>
      <c r="C19" s="116" t="s">
        <v>165</v>
      </c>
      <c r="D19" s="117"/>
      <c r="E19" s="111">
        <v>117743.0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166</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167</v>
      </c>
      <c r="D21" s="117"/>
      <c r="E21" s="111">
        <v>322100.0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168</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169</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170</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171</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172</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173</v>
      </c>
      <c r="D27" s="117"/>
      <c r="E27" s="118">
        <v>37500.0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174</v>
      </c>
      <c r="D28" s="125"/>
      <c r="E28" s="126">
        <f>sum(E19:E27)</f>
        <v>477343</v>
      </c>
      <c r="F28" s="43"/>
      <c r="G28" s="43"/>
      <c r="H28" s="43"/>
      <c r="I28" s="43"/>
      <c r="J28" s="43"/>
      <c r="K28" s="43"/>
      <c r="L28" s="43"/>
      <c r="M28" s="43"/>
      <c r="N28" s="43"/>
      <c r="O28" s="43"/>
      <c r="P28" s="43"/>
      <c r="Q28" s="43"/>
      <c r="R28" s="43"/>
      <c r="S28" s="43"/>
      <c r="T28" s="43"/>
      <c r="U28" s="43"/>
      <c r="V28" s="43"/>
      <c r="W28" s="43"/>
      <c r="X28" s="43"/>
      <c r="Y28" s="43"/>
      <c r="Z28" s="43"/>
    </row>
    <row r="29">
      <c r="A29" s="65" t="s">
        <v>175</v>
      </c>
      <c r="B29" s="127"/>
      <c r="C29" s="128" t="s">
        <v>176</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177</v>
      </c>
      <c r="D30" s="117"/>
      <c r="E30" s="111">
        <v>4567938.0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178</v>
      </c>
      <c r="D31" s="117"/>
      <c r="E31" s="111">
        <v>882001.0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179</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180</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181</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182</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183</v>
      </c>
      <c r="D36" s="131"/>
      <c r="E36" s="126">
        <f>sum(E30:E35)</f>
        <v>5449939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184</v>
      </c>
      <c r="D37" s="135"/>
      <c r="E37" s="136">
        <f>E36+E28</f>
        <v>5927282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PEAK GRANTMAKING</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185</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186</v>
      </c>
      <c r="C3" s="144" t="s">
        <v>187</v>
      </c>
      <c r="D3" s="145">
        <f>'Expenses 2022'!C40</f>
        <v>3460996</v>
      </c>
      <c r="E3" s="146"/>
      <c r="F3" s="43"/>
      <c r="G3" s="43"/>
      <c r="H3" s="43"/>
      <c r="I3" s="43"/>
      <c r="J3" s="43"/>
      <c r="K3" s="43"/>
      <c r="L3" s="43"/>
      <c r="M3" s="43"/>
      <c r="N3" s="43"/>
      <c r="O3" s="43"/>
      <c r="P3" s="43"/>
      <c r="Q3" s="43"/>
      <c r="R3" s="43"/>
      <c r="S3" s="43"/>
      <c r="T3" s="43"/>
      <c r="U3" s="43"/>
      <c r="V3" s="43"/>
      <c r="W3" s="43"/>
      <c r="X3" s="43"/>
      <c r="Y3" s="43"/>
    </row>
    <row r="4">
      <c r="A4" s="138"/>
      <c r="B4" s="49"/>
      <c r="C4" s="144" t="s">
        <v>188</v>
      </c>
      <c r="D4" s="145">
        <f>'Expenses 2022'!C31</f>
        <v>19189</v>
      </c>
      <c r="E4" s="146"/>
      <c r="F4" s="43"/>
      <c r="G4" s="43"/>
      <c r="H4" s="43"/>
      <c r="I4" s="43"/>
      <c r="J4" s="43"/>
      <c r="K4" s="43"/>
      <c r="L4" s="43"/>
      <c r="M4" s="43"/>
      <c r="N4" s="43"/>
      <c r="O4" s="43"/>
      <c r="P4" s="43"/>
      <c r="Q4" s="43"/>
      <c r="R4" s="43"/>
      <c r="S4" s="43"/>
      <c r="T4" s="43"/>
      <c r="U4" s="43"/>
      <c r="V4" s="43"/>
      <c r="W4" s="43"/>
      <c r="X4" s="43"/>
      <c r="Y4" s="43"/>
    </row>
    <row r="5">
      <c r="A5" s="138"/>
      <c r="B5" s="49"/>
      <c r="C5" s="144" t="s">
        <v>189</v>
      </c>
      <c r="D5" s="145">
        <f>D3-D4</f>
        <v>3441807</v>
      </c>
      <c r="E5" s="146"/>
      <c r="F5" s="43"/>
      <c r="G5" s="43"/>
      <c r="H5" s="43"/>
      <c r="I5" s="43"/>
      <c r="J5" s="43"/>
      <c r="K5" s="43"/>
      <c r="L5" s="43"/>
      <c r="M5" s="43"/>
      <c r="N5" s="43"/>
      <c r="O5" s="43"/>
      <c r="P5" s="43"/>
      <c r="Q5" s="43"/>
      <c r="R5" s="43"/>
      <c r="S5" s="43"/>
      <c r="T5" s="43"/>
      <c r="U5" s="43"/>
      <c r="V5" s="43"/>
      <c r="W5" s="43"/>
      <c r="X5" s="43"/>
      <c r="Y5" s="43"/>
    </row>
    <row r="6">
      <c r="A6" s="138"/>
      <c r="B6" s="49"/>
      <c r="C6" s="144" t="s">
        <v>190</v>
      </c>
      <c r="D6" s="145">
        <f>D5/12</f>
        <v>286817.25</v>
      </c>
      <c r="E6" s="146"/>
      <c r="F6" s="43"/>
      <c r="G6" s="43"/>
      <c r="H6" s="43"/>
      <c r="I6" s="43"/>
      <c r="J6" s="43"/>
      <c r="K6" s="43"/>
      <c r="L6" s="43"/>
      <c r="M6" s="43"/>
      <c r="N6" s="43"/>
      <c r="O6" s="43"/>
      <c r="P6" s="43"/>
      <c r="Q6" s="43"/>
      <c r="R6" s="43"/>
      <c r="S6" s="43"/>
      <c r="T6" s="43"/>
      <c r="U6" s="43"/>
      <c r="V6" s="43"/>
      <c r="W6" s="43"/>
      <c r="X6" s="43"/>
      <c r="Y6" s="43"/>
    </row>
    <row r="7">
      <c r="A7" s="138"/>
      <c r="B7" s="49"/>
      <c r="C7" s="144" t="s">
        <v>191</v>
      </c>
      <c r="D7" s="75">
        <f>'Balance Sheet 2022'!E2+'Balance Sheet 2022'!E3</f>
        <v>4244718</v>
      </c>
      <c r="E7" s="146"/>
      <c r="F7" s="43"/>
      <c r="G7" s="43"/>
      <c r="H7" s="43"/>
      <c r="I7" s="43"/>
      <c r="J7" s="43"/>
      <c r="K7" s="43"/>
      <c r="L7" s="43"/>
      <c r="M7" s="43"/>
      <c r="N7" s="43"/>
      <c r="O7" s="43"/>
      <c r="P7" s="43"/>
      <c r="Q7" s="43"/>
      <c r="R7" s="43"/>
      <c r="S7" s="43"/>
      <c r="T7" s="43"/>
      <c r="U7" s="43"/>
      <c r="V7" s="43"/>
      <c r="W7" s="43"/>
      <c r="X7" s="43"/>
      <c r="Y7" s="43"/>
    </row>
    <row r="8">
      <c r="A8" s="138"/>
      <c r="B8" s="49"/>
      <c r="C8" s="147" t="s">
        <v>185</v>
      </c>
      <c r="D8" s="148">
        <f>D7/D6</f>
        <v>14.79938184</v>
      </c>
      <c r="E8" s="149" t="s">
        <v>192</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193</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194</v>
      </c>
      <c r="C11" s="144" t="s">
        <v>195</v>
      </c>
      <c r="D11" s="75">
        <f>'Balance Sheet 2022'!E30</f>
        <v>4567938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196</v>
      </c>
      <c r="D12" s="75">
        <f>'Expenses 2022'!C40</f>
        <v>3460996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197</v>
      </c>
      <c r="D13" s="145">
        <f>D12/12</f>
        <v>288416.3333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193</v>
      </c>
      <c r="D14" s="148">
        <f>D11/D13</f>
        <v>15.83800039</v>
      </c>
      <c r="E14" s="149" t="s">
        <v>192</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198</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199</v>
      </c>
      <c r="C17" s="144" t="s">
        <v>200</v>
      </c>
      <c r="D17" s="75">
        <f>sum('Balance Sheet 2022'!E13:E15)</f>
        <v>1167883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196</v>
      </c>
      <c r="D18" s="75">
        <f>'Expenses 2022'!C40</f>
        <v>3460996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197</v>
      </c>
      <c r="D19" s="145">
        <f>D18/12</f>
        <v>288416.3333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201</v>
      </c>
      <c r="D20" s="148">
        <f>D17/D19</f>
        <v>4.049295636</v>
      </c>
      <c r="E20" s="149" t="s">
        <v>192</v>
      </c>
      <c r="F20" s="43"/>
      <c r="G20" s="43"/>
      <c r="H20" s="43"/>
      <c r="I20" s="43"/>
      <c r="J20" s="43"/>
      <c r="K20" s="43"/>
      <c r="L20" s="43"/>
      <c r="M20" s="43"/>
      <c r="N20" s="43"/>
      <c r="O20" s="43"/>
      <c r="P20" s="43"/>
      <c r="Q20" s="43"/>
      <c r="R20" s="43"/>
      <c r="S20" s="43"/>
      <c r="T20" s="43"/>
      <c r="U20" s="43"/>
      <c r="V20" s="43"/>
      <c r="W20" s="43"/>
      <c r="X20" s="43"/>
      <c r="Y20" s="43"/>
    </row>
    <row r="21">
      <c r="A21" s="138"/>
      <c r="B21" s="49"/>
      <c r="C21" s="153" t="s">
        <v>202</v>
      </c>
      <c r="D21" s="154">
        <f>D20+D8</f>
        <v>18.84867747</v>
      </c>
      <c r="E21" s="155" t="s">
        <v>192</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203</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204</v>
      </c>
      <c r="C24" s="159"/>
      <c r="D24" s="160">
        <f>max('Revenues 2022'!E2:E7,'Revenues 2022'!F10:F15)</f>
        <v>1907494</v>
      </c>
      <c r="E24" s="161" t="s">
        <v>205</v>
      </c>
      <c r="F24" s="43"/>
      <c r="G24" s="43"/>
      <c r="H24" s="43"/>
      <c r="I24" s="43"/>
      <c r="J24" s="43"/>
      <c r="K24" s="43"/>
      <c r="L24" s="43"/>
      <c r="M24" s="43"/>
      <c r="N24" s="43"/>
      <c r="O24" s="43"/>
      <c r="P24" s="43"/>
      <c r="Q24" s="43"/>
      <c r="R24" s="43"/>
      <c r="S24" s="43"/>
      <c r="T24" s="43"/>
      <c r="U24" s="43"/>
      <c r="V24" s="43"/>
      <c r="W24" s="43"/>
      <c r="X24" s="43"/>
      <c r="Y24" s="43"/>
    </row>
    <row r="25">
      <c r="A25" s="138"/>
      <c r="B25" s="49"/>
      <c r="C25" s="144" t="s">
        <v>206</v>
      </c>
      <c r="D25" s="145">
        <f>'Revenues 2022'!F44</f>
        <v>4293977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203</v>
      </c>
      <c r="D26" s="162">
        <f>D24/D25</f>
        <v>0.4442254814</v>
      </c>
      <c r="E26" s="149" t="s">
        <v>207</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208</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209</v>
      </c>
      <c r="C29" s="144" t="s">
        <v>210</v>
      </c>
      <c r="D29" s="75">
        <f>SUM('Expenses 2022'!C7:C9)</f>
        <v>1708998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211</v>
      </c>
      <c r="D30" s="75">
        <f>SUM('Expenses 2022'!C10:C12)</f>
        <v>319551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212</v>
      </c>
      <c r="D31" s="75">
        <f>sum(D29:D30)</f>
        <v>2028549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187</v>
      </c>
      <c r="D32" s="75">
        <f>'Expenses 2022'!C40</f>
        <v>3460996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213</v>
      </c>
      <c r="D33" s="162">
        <f>D31/D32</f>
        <v>0.5861171177</v>
      </c>
      <c r="E33" s="149" t="s">
        <v>214</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215</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216</v>
      </c>
      <c r="C36" s="144" t="s">
        <v>217</v>
      </c>
      <c r="D36" s="75">
        <f>SUM('Expenses 2022'!C10:C11)</f>
        <v>198145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210</v>
      </c>
      <c r="D37" s="75">
        <f>SUM('Expenses 2022'!C7:C9)</f>
        <v>1708998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215</v>
      </c>
      <c r="D38" s="162">
        <f>D36/D37</f>
        <v>0.1159422071</v>
      </c>
      <c r="E38" s="149" t="s">
        <v>218</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219</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220</v>
      </c>
      <c r="C41" s="147" t="s">
        <v>221</v>
      </c>
      <c r="D41" s="75">
        <f>'Expenses 2022'!D40</f>
        <v>2395871</v>
      </c>
      <c r="E41" s="164">
        <f t="shared" ref="E41:E44" si="1">D41/$D$44</f>
        <v>0.6922489942</v>
      </c>
      <c r="F41" s="43"/>
      <c r="G41" s="43"/>
      <c r="H41" s="43"/>
      <c r="I41" s="43"/>
      <c r="J41" s="43"/>
      <c r="K41" s="43"/>
      <c r="L41" s="43"/>
      <c r="M41" s="43"/>
      <c r="N41" s="43"/>
      <c r="O41" s="43"/>
      <c r="P41" s="43"/>
      <c r="Q41" s="43"/>
      <c r="R41" s="43"/>
      <c r="S41" s="43"/>
      <c r="T41" s="43"/>
      <c r="U41" s="43"/>
      <c r="V41" s="43"/>
      <c r="W41" s="43"/>
      <c r="X41" s="43"/>
      <c r="Y41" s="43"/>
    </row>
    <row r="42">
      <c r="A42" s="138"/>
      <c r="B42" s="49"/>
      <c r="C42" s="147" t="s">
        <v>222</v>
      </c>
      <c r="D42" s="145">
        <f>'Expenses 2022'!E40</f>
        <v>838804</v>
      </c>
      <c r="E42" s="164">
        <f t="shared" si="1"/>
        <v>0.2423591359</v>
      </c>
      <c r="F42" s="43"/>
      <c r="G42" s="43"/>
      <c r="H42" s="43"/>
      <c r="I42" s="43"/>
      <c r="J42" s="43"/>
      <c r="K42" s="43"/>
      <c r="L42" s="43"/>
      <c r="M42" s="43"/>
      <c r="N42" s="43"/>
      <c r="O42" s="43"/>
      <c r="P42" s="43"/>
      <c r="Q42" s="43"/>
      <c r="R42" s="43"/>
      <c r="S42" s="43"/>
      <c r="T42" s="43"/>
      <c r="U42" s="43"/>
      <c r="V42" s="43"/>
      <c r="W42" s="43"/>
      <c r="X42" s="43"/>
      <c r="Y42" s="43"/>
    </row>
    <row r="43">
      <c r="A43" s="138"/>
      <c r="B43" s="49"/>
      <c r="C43" s="147" t="s">
        <v>223</v>
      </c>
      <c r="D43" s="145">
        <f>'Expenses 2022'!F40</f>
        <v>226321</v>
      </c>
      <c r="E43" s="164">
        <f t="shared" si="1"/>
        <v>0.06539186985</v>
      </c>
      <c r="F43" s="43"/>
      <c r="G43" s="43"/>
      <c r="H43" s="43"/>
      <c r="I43" s="43"/>
      <c r="J43" s="43"/>
      <c r="K43" s="43"/>
      <c r="L43" s="43"/>
      <c r="M43" s="43"/>
      <c r="N43" s="43"/>
      <c r="O43" s="43"/>
      <c r="P43" s="43"/>
      <c r="Q43" s="43"/>
      <c r="R43" s="43"/>
      <c r="S43" s="43"/>
      <c r="T43" s="43"/>
      <c r="U43" s="43"/>
      <c r="V43" s="43"/>
      <c r="W43" s="43"/>
      <c r="X43" s="43"/>
      <c r="Y43" s="43"/>
    </row>
    <row r="44">
      <c r="A44" s="138"/>
      <c r="B44" s="49"/>
      <c r="C44" s="144" t="s">
        <v>187</v>
      </c>
      <c r="D44" s="145">
        <f>sum(D41:D43)</f>
        <v>3460996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224</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225</v>
      </c>
      <c r="C47" s="144" t="s">
        <v>226</v>
      </c>
      <c r="D47" s="145">
        <f>'Revenues 2022'!F9</f>
        <v>3350330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227</v>
      </c>
      <c r="D48" s="145">
        <f>'Expenses 2022'!F40</f>
        <v>226321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228</v>
      </c>
      <c r="D49" s="165">
        <f>if(D48=0, "$0",D47/D48)</f>
        <v>14.8034429</v>
      </c>
      <c r="E49" s="149" t="s">
        <v>229</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230</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231</v>
      </c>
      <c r="C52" s="144" t="s">
        <v>232</v>
      </c>
      <c r="D52" s="145">
        <f>sum('Balance Sheet 2022'!E2:E10)</f>
        <v>4720182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233</v>
      </c>
      <c r="D53" s="145">
        <f>sum('Balance Sheet 2022'!E19:E22)</f>
        <v>439843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234</v>
      </c>
      <c r="D54" s="167">
        <f>D52/D53</f>
        <v>10.73151556</v>
      </c>
      <c r="E54" s="149" t="s">
        <v>235</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236</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237</v>
      </c>
      <c r="C57" s="144" t="s">
        <v>238</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239</v>
      </c>
      <c r="D58" s="145">
        <f>'Balance Sheet 2022'!E18</f>
        <v>5927282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240</v>
      </c>
      <c r="D59" s="168">
        <f>D57/D58</f>
        <v>0</v>
      </c>
      <c r="E59" s="149" t="s">
        <v>241</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PEAK GRANTMAKING</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1294530.0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388759.0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1683289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975805.0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242</v>
      </c>
      <c r="D11" s="61"/>
      <c r="E11" s="61"/>
      <c r="F11" s="62">
        <v>397620.0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65</v>
      </c>
      <c r="D12" s="61"/>
      <c r="E12" s="61"/>
      <c r="F12" s="62">
        <v>330000.0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67</v>
      </c>
      <c r="D13" s="61"/>
      <c r="E13" s="61"/>
      <c r="F13" s="62">
        <v>98001.0</v>
      </c>
      <c r="G13" s="171"/>
      <c r="H13" s="43"/>
      <c r="J13" s="171"/>
      <c r="K13" s="43"/>
      <c r="L13" s="43"/>
      <c r="M13" s="43"/>
      <c r="N13" s="43"/>
      <c r="O13" s="43"/>
      <c r="P13" s="43"/>
      <c r="Q13" s="43"/>
      <c r="R13" s="43"/>
      <c r="S13" s="43"/>
      <c r="T13" s="43"/>
      <c r="U13" s="43"/>
      <c r="V13" s="43"/>
      <c r="W13" s="43"/>
      <c r="X13" s="43"/>
      <c r="Y13" s="43"/>
      <c r="Z13" s="43"/>
    </row>
    <row r="14">
      <c r="A14" s="49"/>
      <c r="B14" s="45" t="s">
        <v>54</v>
      </c>
      <c r="C14" s="173" t="s">
        <v>243</v>
      </c>
      <c r="D14" s="61"/>
      <c r="E14" s="61"/>
      <c r="F14" s="62">
        <v>92502.0</v>
      </c>
      <c r="G14" s="171"/>
      <c r="H14" s="43"/>
      <c r="J14" s="171"/>
      <c r="K14" s="43"/>
      <c r="L14" s="43"/>
      <c r="M14" s="43"/>
      <c r="N14" s="43"/>
      <c r="O14" s="43"/>
      <c r="P14" s="43"/>
      <c r="Q14" s="43"/>
      <c r="R14" s="43"/>
      <c r="S14" s="43"/>
      <c r="T14" s="43"/>
      <c r="U14" s="43"/>
      <c r="V14" s="43"/>
      <c r="W14" s="43"/>
      <c r="X14" s="43"/>
      <c r="Y14" s="43"/>
      <c r="Z14" s="43"/>
    </row>
    <row r="15">
      <c r="A15" s="52"/>
      <c r="B15" s="45" t="s">
        <v>56</v>
      </c>
      <c r="C15" s="173" t="s">
        <v>244</v>
      </c>
      <c r="D15" s="61"/>
      <c r="E15" s="61"/>
      <c r="F15" s="62">
        <v>67550.0</v>
      </c>
      <c r="G15" s="43"/>
      <c r="H15" s="43"/>
      <c r="J15" s="171"/>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1961478</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37778.0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245</v>
      </c>
      <c r="D26" s="50">
        <v>1306438.0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1193820.0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112618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112618</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45.0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45</v>
      </c>
      <c r="G38" s="43"/>
      <c r="H38" s="43"/>
      <c r="I38" s="43"/>
      <c r="J38" s="43"/>
      <c r="K38" s="43"/>
      <c r="L38" s="43"/>
      <c r="M38" s="43"/>
      <c r="N38" s="43"/>
      <c r="O38" s="43"/>
      <c r="P38" s="43"/>
      <c r="Q38" s="43"/>
      <c r="R38" s="43"/>
      <c r="S38" s="43"/>
      <c r="T38" s="43"/>
      <c r="U38" s="43"/>
      <c r="V38" s="43"/>
      <c r="W38" s="43"/>
      <c r="X38" s="43"/>
      <c r="Y38" s="43"/>
      <c r="Z38" s="43"/>
    </row>
    <row r="39">
      <c r="A39" s="49"/>
      <c r="B39" s="45" t="s">
        <v>99</v>
      </c>
      <c r="C39" s="83" t="s">
        <v>100</v>
      </c>
      <c r="D39" s="74"/>
      <c r="E39" s="48">
        <v>4327.0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4327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3799535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PEAK GRANTMAKING</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125000</v>
      </c>
      <c r="D3" s="99">
        <v>125000.0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510378</v>
      </c>
      <c r="D7" s="99">
        <v>311528.0</v>
      </c>
      <c r="E7" s="99">
        <v>119643.0</v>
      </c>
      <c r="F7" s="99">
        <v>79207.0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1867755</v>
      </c>
      <c r="D9" s="99">
        <v>1355989.0</v>
      </c>
      <c r="E9" s="99">
        <v>468335.0</v>
      </c>
      <c r="F9" s="99">
        <v>43431.0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61947</v>
      </c>
      <c r="D10" s="99">
        <v>43520.0</v>
      </c>
      <c r="E10" s="99">
        <v>15329.0</v>
      </c>
      <c r="F10" s="99">
        <v>3098.0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304281</v>
      </c>
      <c r="D11" s="99">
        <v>216967.0</v>
      </c>
      <c r="E11" s="99">
        <v>75803.0</v>
      </c>
      <c r="F11" s="99">
        <v>11511.0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178452</v>
      </c>
      <c r="D12" s="99">
        <v>125368.0</v>
      </c>
      <c r="E12" s="99">
        <v>44159.0</v>
      </c>
      <c r="F12" s="99">
        <v>8925.0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181018</v>
      </c>
      <c r="D16" s="99">
        <v>0.0</v>
      </c>
      <c r="E16" s="99">
        <v>181018.0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826824</v>
      </c>
      <c r="D20" s="99">
        <v>485573.0</v>
      </c>
      <c r="E20" s="99">
        <v>341251.0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146217</v>
      </c>
      <c r="D21" s="99">
        <v>86244.0</v>
      </c>
      <c r="E21" s="99">
        <v>59973.0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138367</v>
      </c>
      <c r="D22" s="99">
        <v>28335.0</v>
      </c>
      <c r="E22" s="99">
        <v>108337.0</v>
      </c>
      <c r="F22" s="99">
        <v>1695.0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1066513</v>
      </c>
      <c r="D23" s="99">
        <v>473848.0</v>
      </c>
      <c r="E23" s="99">
        <v>592305.0</v>
      </c>
      <c r="F23" s="99">
        <v>360.0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12839</v>
      </c>
      <c r="D25" s="99">
        <v>0.0</v>
      </c>
      <c r="E25" s="99">
        <v>12839.0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233628</v>
      </c>
      <c r="D26" s="99">
        <v>72176.0</v>
      </c>
      <c r="E26" s="99">
        <v>161452.0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840664</v>
      </c>
      <c r="D28" s="99">
        <v>808674.0</v>
      </c>
      <c r="E28" s="99">
        <v>31990.0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20942</v>
      </c>
      <c r="D31" s="99">
        <v>0.0</v>
      </c>
      <c r="E31" s="99">
        <v>20942.0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60424</v>
      </c>
      <c r="D32" s="99">
        <v>15447.0</v>
      </c>
      <c r="E32" s="99">
        <v>44962.0</v>
      </c>
      <c r="F32" s="99">
        <v>15.0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246</v>
      </c>
      <c r="C34" s="98">
        <f t="shared" si="1"/>
        <v>219888</v>
      </c>
      <c r="D34" s="99">
        <v>5295.0</v>
      </c>
      <c r="E34" s="99">
        <v>214593.0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13379</v>
      </c>
      <c r="D35" s="99">
        <v>3100.0</v>
      </c>
      <c r="E35" s="99">
        <v>10279.0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247</v>
      </c>
      <c r="C36" s="98">
        <f t="shared" si="1"/>
        <v>5639</v>
      </c>
      <c r="D36" s="99">
        <v>4466.0</v>
      </c>
      <c r="E36" s="99">
        <v>1173.0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3">
        <f t="shared" ref="C40:F40" si="2">sum(C3:C39)</f>
        <v>6814155</v>
      </c>
      <c r="D40" s="103">
        <f t="shared" si="2"/>
        <v>4161530</v>
      </c>
      <c r="E40" s="103">
        <f t="shared" si="2"/>
        <v>2504383</v>
      </c>
      <c r="F40" s="103">
        <f t="shared" si="2"/>
        <v>148242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PEAK GRANTMAKING</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144</v>
      </c>
      <c r="B2" s="45">
        <v>1.0</v>
      </c>
      <c r="C2" s="46" t="s">
        <v>145</v>
      </c>
      <c r="D2" s="110"/>
      <c r="E2" s="111">
        <v>1431132.0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2"/>
      <c r="E3" s="111">
        <v>503311.0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0"/>
      <c r="E4" s="111">
        <v>81250.0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2"/>
      <c r="E5" s="111">
        <v>100818.0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0"/>
      <c r="E10" s="111">
        <v>77606.0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1">
        <v>226707.0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1">
        <v>207374.0</v>
      </c>
      <c r="E12" s="108">
        <f>D11-D12</f>
        <v>19333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2"/>
      <c r="E13" s="111">
        <v>1361266.0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2"/>
      <c r="E17" s="111">
        <v>70600.0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3"/>
      <c r="E18" s="114">
        <f>sum(E2:E17)</f>
        <v>3645316</v>
      </c>
      <c r="F18" s="43"/>
      <c r="G18" s="43"/>
      <c r="H18" s="43"/>
      <c r="I18" s="43"/>
      <c r="J18" s="43"/>
      <c r="K18" s="43"/>
      <c r="L18" s="43"/>
      <c r="M18" s="43"/>
      <c r="N18" s="43"/>
      <c r="O18" s="43"/>
      <c r="P18" s="43"/>
      <c r="Q18" s="43"/>
      <c r="R18" s="43"/>
      <c r="S18" s="43"/>
      <c r="T18" s="43"/>
      <c r="U18" s="43"/>
      <c r="V18" s="43"/>
      <c r="W18" s="43"/>
      <c r="X18" s="43"/>
      <c r="Y18" s="43"/>
      <c r="Z18" s="43"/>
    </row>
    <row r="19">
      <c r="A19" s="44" t="s">
        <v>164</v>
      </c>
      <c r="B19" s="115">
        <v>17.0</v>
      </c>
      <c r="C19" s="116" t="s">
        <v>165</v>
      </c>
      <c r="D19" s="117"/>
      <c r="E19" s="111">
        <v>349417.0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166</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167</v>
      </c>
      <c r="D21" s="117"/>
      <c r="E21" s="111">
        <v>779180.0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168</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169</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170</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171</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172</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173</v>
      </c>
      <c r="D27" s="117"/>
      <c r="E27" s="118">
        <v>37500.0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174</v>
      </c>
      <c r="D28" s="125"/>
      <c r="E28" s="126">
        <f>sum(E19:E27)</f>
        <v>1166097</v>
      </c>
      <c r="F28" s="43"/>
      <c r="G28" s="43"/>
      <c r="H28" s="43"/>
      <c r="I28" s="43"/>
      <c r="J28" s="43"/>
      <c r="K28" s="43"/>
      <c r="L28" s="43"/>
      <c r="M28" s="43"/>
      <c r="N28" s="43"/>
      <c r="O28" s="43"/>
      <c r="P28" s="43"/>
      <c r="Q28" s="43"/>
      <c r="R28" s="43"/>
      <c r="S28" s="43"/>
      <c r="T28" s="43"/>
      <c r="U28" s="43"/>
      <c r="V28" s="43"/>
      <c r="W28" s="43"/>
      <c r="X28" s="43"/>
      <c r="Y28" s="43"/>
      <c r="Z28" s="43"/>
    </row>
    <row r="29">
      <c r="A29" s="65" t="s">
        <v>175</v>
      </c>
      <c r="B29" s="127"/>
      <c r="C29" s="128" t="s">
        <v>176</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177</v>
      </c>
      <c r="D30" s="117"/>
      <c r="E30" s="111">
        <v>1894051.0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178</v>
      </c>
      <c r="D31" s="117"/>
      <c r="E31" s="111">
        <v>585168.0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179</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180</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181</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182</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183</v>
      </c>
      <c r="D36" s="131"/>
      <c r="E36" s="126">
        <f>sum(E30:E35)</f>
        <v>2479219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184</v>
      </c>
      <c r="D37" s="135"/>
      <c r="E37" s="136">
        <f>E36+E28</f>
        <v>3645316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