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<sst xmlns="http://schemas.openxmlformats.org/spreadsheetml/2006/main" count="880" uniqueCount="253">
  <si>
    <t>MULTIPLIER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</si>
  <si>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</si>
  <si>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</si>
  <si>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</si>
  <si>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</si>
  <si>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</si>
  <si>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</si>
  <si>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</si>
  <si>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</si>
  <si>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</si>
  <si>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</si>
  <si>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</si>
  <si>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</si>
  <si>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</si>
  <si>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</si>
  <si>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</si>
  <si>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</si>
  <si>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</si>
  <si>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</si>
  <si>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</si>
  <si>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</si>
  <si>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</si>
  <si>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</si>
  <si>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</si>
  <si>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</si>
  <si>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</si>
  <si>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</si>
  <si>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</si>
  <si>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</si>
  <si>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</si>
  <si>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</si>
  <si>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</si>
  <si>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</si>
  <si>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</si>
  <si>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</si>
  <si>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</si>
  <si>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</si>
  <si>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</si>
  <si>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</si>
  <si>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</si>
  <si>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</si>
  <si>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</si>
  <si>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</si>
  <si>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</si>
  <si>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</si>
  <si>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</si>
  <si>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</si>
  <si>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</si>
  <si>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</si>
  <si>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</si>
  <si>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</si>
  <si>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</si>
  <si>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</si>
  <si>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</si>
  <si>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</si>
  <si>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</si>
  <si>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</si>
  <si>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</si>
  <si>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</si>
  <si>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</si>
  <si>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</si>
  <si>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</si>
  <si>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</si>
  <si>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</si>
  <si>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FEES FOR SERVICES</t>
  </si>
  <si>
    <t>PROGRAM PARTICIPATION FEES</t>
  </si>
  <si>
    <t>REGISTRATION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</si>
  <si>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</si>
  <si>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</si>
  <si>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</si>
  <si>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</si>
  <si>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</si>
  <si>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</si>
  <si>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</si>
  <si>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</si>
  <si>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</si>
  <si>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</si>
  <si>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</si>
  <si>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</si>
  <si>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</si>
  <si>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</si>
  <si>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</si>
  <si>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</si>
  <si>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</si>
  <si>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</si>
  <si>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</si>
  <si>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</si>
  <si>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</si>
  <si>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</si>
  <si>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</si>
  <si>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</si>
  <si>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</si>
  <si>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</si>
  <si>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</si>
  <si>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</si>
  <si>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</si>
  <si>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</si>
  <si>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</si>
  <si>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</si>
  <si>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HONORARIA</t>
  </si>
  <si>
    <t>OTHER</t>
  </si>
  <si>
    <t>MISC. REIMBURSEMENT</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</si>
  <si>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</si>
  <si>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</si>
  <si>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</si>
  <si>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</si>
  <si>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</si>
  <si>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</si>
  <si>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</si>
  <si>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</si>
  <si>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</si>
  <si>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</si>
  <si>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</si>
  <si>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</si>
  <si>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</si>
  <si>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</si>
  <si>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</si>
  <si>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</si>
  <si>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</si>
  <si>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</si>
  <si>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</si>
  <si>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</si>
  <si>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</si>
  <si>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</si>
  <si>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</si>
  <si>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</si>
  <si>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</si>
  <si>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</si>
  <si>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</si>
  <si>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</si>
  <si>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</si>
  <si>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</si>
  <si>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</si>
  <si>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</si>
  <si>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</si>
  <si>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</si>
  <si>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</si>
  <si>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</si>
  <si>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</si>
  <si>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 &amp; EQUIPMENT</t>
  </si>
  <si>
    <t>OTHER EXPENSE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</si>
  <si>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</si>
  <si>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</si>
  <si>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</si>
  <si>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</si>
  <si>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</si>
  <si>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</si>
  <si>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</si>
  <si>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</si>
  <si>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</si>
  <si>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</si>
  <si>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</si>
  <si>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</si>
  <si>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</si>
  <si>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</si>
  <si>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</si>
  <si>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</si>
  <si>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</si>
  <si>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</si>
  <si>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</si>
  <si>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</si>
  <si>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</si>
  <si>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</si>
  <si>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</si>
  <si>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</si>
  <si>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</si>
  <si>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</si>
  <si>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</si>
  <si>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</si>
  <si>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</si>
  <si>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</si>
  <si>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</si>
  <si>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</si>
  <si>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</si>
  <si>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</si>
  <si>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</si>
  <si>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</si>
  <si>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</si>
  <si>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</si>
  <si>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</si>
  <si>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</si>
  <si>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</si>
  <si>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</si>
  <si>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</si>
  <si>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</si>
  <si>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</si>
  <si>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</si>
  <si>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</si>
  <si>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</si>
  <si>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</si>
  <si>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</si>
  <si>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</si>
  <si>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</si>
  <si>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</si>
  <si>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</si>
  <si>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</si>
  <si>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</si>
  <si>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</si>
  <si>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</si>
  <si>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</si>
  <si>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</si>
  <si>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</si>
  <si>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</si>
  <si>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</si>
  <si>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</si>
  <si>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</si>
  <si>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</si>
  <si>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</si>
  <si>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</si>
  <si>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</si>
  <si>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</si>
  <si>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</si>
  <si>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</si>
  <si>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</si>
  <si>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</si>
  <si>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</si>
  <si>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</si>
  <si>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</si>
  <si>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</si>
  <si>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</si>
  <si>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</si>
  <si>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</si>
  <si>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</si>
  <si>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</si>
  <si>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</si>
  <si>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</si>
  <si>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</si>
  <si>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</si>
  <si>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</si>
  <si>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</si>
  <si>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</si>
  <si>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</si>
  <si>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</si>
  <si>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</si>
  <si>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</si>
  <si>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</si>
  <si>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</si>
  <si>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</si>
  <si>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</si>
  <si>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</si>
  <si>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</si>
  <si>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</si>
  <si>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</si>
  <si>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</si>
  <si>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REIMBURSEMENT</t>
  </si>
  <si>
    <t>SUPPLIES AND EQUIPMENT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</si>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</sst>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MULTIPLIER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2022'!C40</f>
        <v>35786162</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35786162</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2982180.167</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2022'!E2+'Balance Sheet 2022'!E3</f>
        <v>835409</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0.280133645</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2022'!E30</f>
        <v>8333046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2022'!C40</f>
        <v>35786162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2982180.167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2.794279867</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2022'!E13:E15)</f>
        <v>47350218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2022'!C40</f>
        <v>35786162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2982180.167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15.87771877</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16.15785241</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2022'!E2:E7,'Revenues 2022'!F10:F15)</f>
        <v>52059622</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2022'!F44</f>
        <v>56443318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0.9223345445</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2022'!C7:C9)</f>
        <v>15153775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2022'!C10:C12)</f>
        <v>2979041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18132816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2022'!C40</f>
        <v>35786162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0.5066990978</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2022'!C10:C11)</f>
        <v>1818704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2022'!C7:C9)</f>
        <v>15153775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0.1200165635</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242</v>
      </c>
      <c r="D41" s="75">
        <f>'Expenses 2022'!D40</f>
        <v>31440368</v>
      </c>
      <c r="E41" s="165">
        <f t="shared" ref="E41:E44" si="1">D41/$D$44</f>
        <v>0.878562166</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2022'!E40</f>
        <v>3293559</v>
      </c>
      <c r="E42" s="165">
        <f t="shared" si="1"/>
        <v>0.0920344294</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2022'!F40</f>
        <v>1052235</v>
      </c>
      <c r="E43" s="165">
        <f t="shared" si="1"/>
        <v>0.02940340459</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35786162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2022'!F9</f>
        <v>54265863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2022'!F40</f>
        <v>1052235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51.5719996</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2022'!E2:E10)</f>
        <v>17965027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2022'!E19:E22)</f>
        <v>3234604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5.554011248</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2022'!E18</f>
        <v>65327961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MULTIPLIER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186536.0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77590.0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2430219.0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6.7867503E7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2151072.0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70561848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1628739.0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371177.0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357652.0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2357568</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1864133.0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53052.0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58980.0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58980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58980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5.6701283E7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5.6646585E7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54698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54698</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12720.0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68170.0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-55450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1465.0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441.0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1024</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244</v>
      </c>
      <c r="D39" s="74"/>
      <c r="E39" s="48">
        <v>48865.0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20051.0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99</v>
      </c>
      <c r="D41" s="74"/>
      <c r="E41" s="48">
        <v>11375.0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80291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74976144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MULTIPLIER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23273600</v>
      </c>
      <c r="D3" s="99">
        <v>2.32736E7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1218366</v>
      </c>
      <c r="D5" s="99">
        <v>1218366.0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491598</v>
      </c>
      <c r="D7" s="99">
        <v>0.0</v>
      </c>
      <c r="E7" s="99">
        <v>491598.0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16724451</v>
      </c>
      <c r="D9" s="99">
        <v>1.3793593E7</v>
      </c>
      <c r="E9" s="99">
        <v>2409126.0</v>
      </c>
      <c r="F9" s="99">
        <v>521732.0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516892</v>
      </c>
      <c r="D10" s="99">
        <v>427214.0</v>
      </c>
      <c r="E10" s="99">
        <v>73519.0</v>
      </c>
      <c r="F10" s="99">
        <v>16159.0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1533287</v>
      </c>
      <c r="D11" s="99">
        <v>1245639.0</v>
      </c>
      <c r="E11" s="99">
        <v>240533.0</v>
      </c>
      <c r="F11" s="99">
        <v>47115.0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1322311</v>
      </c>
      <c r="D12" s="99">
        <v>1061518.0</v>
      </c>
      <c r="E12" s="99">
        <v>220642.0</v>
      </c>
      <c r="F12" s="99">
        <v>40151.0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540977</v>
      </c>
      <c r="D14" s="99">
        <v>540977.0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246173</v>
      </c>
      <c r="D15" s="99">
        <v>246173.0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76000</v>
      </c>
      <c r="D16" s="99">
        <v>0.0</v>
      </c>
      <c r="E16" s="99">
        <v>76000.0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9978</v>
      </c>
      <c r="D17" s="99">
        <v>0.0</v>
      </c>
      <c r="E17" s="99">
        <v>9978.0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10624252</v>
      </c>
      <c r="D20" s="99">
        <v>1.0334109E7</v>
      </c>
      <c r="E20" s="99">
        <v>69070.0</v>
      </c>
      <c r="F20" s="99">
        <v>221073.0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235506</v>
      </c>
      <c r="D21" s="99">
        <v>235506.0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304897</v>
      </c>
      <c r="D25" s="99">
        <v>287360.0</v>
      </c>
      <c r="E25" s="99">
        <v>17537.0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1455190</v>
      </c>
      <c r="D26" s="99">
        <v>1381417.0</v>
      </c>
      <c r="E26" s="99">
        <v>63130.0</v>
      </c>
      <c r="F26" s="99">
        <v>10643.0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1349078</v>
      </c>
      <c r="D28" s="99">
        <v>1304820.0</v>
      </c>
      <c r="E28" s="99">
        <v>44258.0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69513</v>
      </c>
      <c r="D29" s="99">
        <v>69513.0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245</v>
      </c>
      <c r="C34" s="98">
        <f t="shared" si="1"/>
        <v>1611081</v>
      </c>
      <c r="D34" s="99">
        <v>1401598.0</v>
      </c>
      <c r="E34" s="99">
        <v>209483.0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517535</v>
      </c>
      <c r="D35" s="99">
        <v>391028.0</v>
      </c>
      <c r="E35" s="99">
        <v>126507.0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62120685</v>
      </c>
      <c r="D40" s="104">
        <f t="shared" si="2"/>
        <v>57212431</v>
      </c>
      <c r="E40" s="104">
        <f t="shared" si="2"/>
        <v>4051381</v>
      </c>
      <c r="F40" s="104">
        <f t="shared" si="2"/>
        <v>856873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MULTIPLIER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3068971.0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6422288.0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2.4367941E7</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1286768.0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240195.0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180926.0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202648.0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4.1049693E7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76819430</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6708856.0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854629.0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7563485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9626961.0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5.9628984E7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69255945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76819430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MULTIPLIER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2023'!C40</f>
        <v>62120685</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62120685</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5176723.75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2023'!E2+'Balance Sheet 2023'!E3</f>
        <v>9491259</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1.833449003</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2023'!E30</f>
        <v>9626961</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2023'!C40</f>
        <v>62120685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5176723.75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1.85966288</v>
      </c>
      <c r="E14" s="150" t="s">
        <v>191</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2023'!E13:E15)</f>
        <v>41049693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2023'!C40</f>
        <v>62120685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5176723.75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7.929666519</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9.763115523</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2023'!E2:E7,'Revenues 2023'!F10:F15)</f>
        <v>67867503</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2023'!F44</f>
        <v>74976144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0.9051879622</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2023'!C7:C9)</f>
        <v>17216049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2023'!C10:C12)</f>
        <v>3372490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20588539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2023'!C40</f>
        <v>62120685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0.3314280742</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2023'!C10:C11)</f>
        <v>2050179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2023'!C7:C9)</f>
        <v>17216049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0.1190853372</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246</v>
      </c>
      <c r="D41" s="75">
        <f>'Expenses 2023'!D40</f>
        <v>57212431</v>
      </c>
      <c r="E41" s="165">
        <f t="shared" ref="E41:E44" si="1">D41/$D$44</f>
        <v>0.9209884115</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2023'!E40</f>
        <v>4051381</v>
      </c>
      <c r="E42" s="165">
        <f t="shared" si="1"/>
        <v>0.06521790608</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2023'!F40</f>
        <v>856873</v>
      </c>
      <c r="E43" s="165">
        <f t="shared" si="1"/>
        <v>0.01379368241</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62120685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2023'!F9</f>
        <v>70561848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2023'!F40</f>
        <v>856873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82.34808192</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2023'!E2:E10)</f>
        <v>35769737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2023'!E19:E22)</f>
        <v>7563485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4.729266601</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2023'!E18</f>
        <v>76819430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MULTIPLIER</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184</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185</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184</v>
      </c>
      <c r="D5" s="177">
        <f>'Ratios 2021'!D8</f>
        <v>0.3604497067</v>
      </c>
      <c r="E5" s="177">
        <f>'Ratios 2022'!D8</f>
        <v>0.280133645</v>
      </c>
      <c r="F5" s="177">
        <f>'Ratios 2023'!D8</f>
        <v>1.833449003</v>
      </c>
      <c r="G5" s="177">
        <f>average(D5:F5)</f>
        <v>0.8246774517</v>
      </c>
      <c r="H5" s="150" t="s">
        <v>191</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192</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193</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192</v>
      </c>
      <c r="D10" s="149">
        <f>'Ratios 2021'!D14</f>
        <v>3.019107209</v>
      </c>
      <c r="E10" s="149">
        <f>'Ratios 2022'!D14</f>
        <v>2.794279867</v>
      </c>
      <c r="F10" s="149">
        <f>'Ratios 2023'!D14</f>
        <v>1.85966288</v>
      </c>
      <c r="G10" s="177">
        <f>average(D10:F10)</f>
        <v>2.557683319</v>
      </c>
      <c r="H10" s="150" t="s">
        <v>191</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197</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198</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200</v>
      </c>
      <c r="D15" s="180">
        <f>'Ratios 2021'!D20</f>
        <v>12.4670625</v>
      </c>
      <c r="E15" s="180">
        <f>'Ratios 2022'!D20</f>
        <v>15.87771877</v>
      </c>
      <c r="F15" s="180">
        <f>'Ratios 2023'!D20</f>
        <v>7.929666519</v>
      </c>
      <c r="G15" s="177">
        <f>average(D15:F15)</f>
        <v>12.0914826</v>
      </c>
      <c r="H15" s="150" t="s">
        <v>191</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202</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203</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202</v>
      </c>
      <c r="D20" s="163">
        <f>'Ratios 2021'!D26</f>
        <v>0.8710607032</v>
      </c>
      <c r="E20" s="163">
        <f>'Ratios 2022'!D26</f>
        <v>0.9223345445</v>
      </c>
      <c r="F20" s="163">
        <f>'Ratios 2023'!D26</f>
        <v>0.9051879622</v>
      </c>
      <c r="G20" s="181">
        <f>average(D20:F20)</f>
        <v>0.8995277367</v>
      </c>
      <c r="H20" s="150" t="s">
        <v>206</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207</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208</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212</v>
      </c>
      <c r="D25" s="163">
        <f>'Ratios 2021'!D33</f>
        <v>0.4933813918</v>
      </c>
      <c r="E25" s="163">
        <f>'Ratios 2022'!D33</f>
        <v>0.5066990978</v>
      </c>
      <c r="F25" s="163">
        <f>'Ratios 2023'!D33</f>
        <v>0.3314280742</v>
      </c>
      <c r="G25" s="181">
        <f>average(D25:F25)</f>
        <v>0.443836188</v>
      </c>
      <c r="H25" s="150" t="s">
        <v>213</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214</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215</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214</v>
      </c>
      <c r="D30" s="163">
        <f>'Ratios 2021'!D38</f>
        <v>0.1283802399</v>
      </c>
      <c r="E30" s="163">
        <f>'Ratios 2022'!D38</f>
        <v>0.1200165635</v>
      </c>
      <c r="F30" s="163">
        <f>'Ratios 2023'!D38</f>
        <v>0.1190853372</v>
      </c>
      <c r="G30" s="181">
        <f>average(D30:F30)</f>
        <v>0.1224940469</v>
      </c>
      <c r="H30" s="150" t="s">
        <v>217</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218</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219</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0.8791723228</v>
      </c>
      <c r="E35" s="163">
        <f>'Ratios 2022'!E41</f>
        <v>0.878562166</v>
      </c>
      <c r="F35" s="163">
        <f>'Ratios 2023'!E41</f>
        <v>0.9209884115</v>
      </c>
      <c r="G35" s="181">
        <f t="shared" ref="G35:G37" si="1">average(D35:F35)</f>
        <v>0.8929076334</v>
      </c>
      <c r="H35" s="181"/>
      <c r="I35" s="43"/>
      <c r="J35" s="43"/>
      <c r="K35" s="43"/>
      <c r="L35" s="43"/>
      <c r="M35" s="43"/>
      <c r="N35" s="43"/>
      <c r="O35" s="43"/>
      <c r="P35" s="43"/>
      <c r="Q35" s="43"/>
      <c r="R35" s="43"/>
      <c r="S35" s="43"/>
      <c r="T35" s="43"/>
      <c r="U35" s="43"/>
      <c r="V35" s="43"/>
      <c r="W35" s="43"/>
      <c r="X35" s="43"/>
      <c r="Y35" s="43"/>
    </row>
    <row r="36">
      <c r="A36" s="139"/>
      <c r="B36" s="52"/>
      <c r="C36" s="148" t="s">
        <v>221</v>
      </c>
      <c r="D36" s="163">
        <f>'Ratios 2021'!E42</f>
        <v>0.07383913418</v>
      </c>
      <c r="E36" s="163">
        <f>'Ratios 2022'!E42</f>
        <v>0.0920344294</v>
      </c>
      <c r="F36" s="163">
        <f>'Ratios 2023'!E42</f>
        <v>0.06521790608</v>
      </c>
      <c r="G36" s="181">
        <f t="shared" si="1"/>
        <v>0.07703048988</v>
      </c>
      <c r="H36" s="181"/>
      <c r="I36" s="43"/>
      <c r="J36" s="43"/>
      <c r="K36" s="43"/>
      <c r="L36" s="43"/>
      <c r="M36" s="43"/>
      <c r="N36" s="43"/>
      <c r="O36" s="43"/>
      <c r="P36" s="43"/>
      <c r="Q36" s="43"/>
      <c r="R36" s="43"/>
      <c r="S36" s="43"/>
      <c r="T36" s="43"/>
      <c r="U36" s="43"/>
      <c r="V36" s="43"/>
      <c r="W36" s="43"/>
      <c r="X36" s="43"/>
      <c r="Y36" s="43"/>
    </row>
    <row r="37">
      <c r="A37" s="139"/>
      <c r="B37" s="182"/>
      <c r="C37" s="148" t="s">
        <v>222</v>
      </c>
      <c r="D37" s="163">
        <f>'Ratios 2021'!E43</f>
        <v>0.046988543</v>
      </c>
      <c r="E37" s="163">
        <f>'Ratios 2022'!E43</f>
        <v>0.02940340459</v>
      </c>
      <c r="F37" s="163">
        <f>'Ratios 2023'!E43</f>
        <v>0.01379368241</v>
      </c>
      <c r="G37" s="181">
        <f t="shared" si="1"/>
        <v>0.03006187667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223</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224</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227</v>
      </c>
      <c r="D42" s="166">
        <f>'Ratios 2021'!D49</f>
        <v>26.83817475</v>
      </c>
      <c r="E42" s="166">
        <f>'Ratios 2022'!D49</f>
        <v>51.5719996</v>
      </c>
      <c r="F42" s="166">
        <f>'Ratios 2023'!D49</f>
        <v>82.34808192</v>
      </c>
      <c r="G42" s="183">
        <f>average(D42:F42)</f>
        <v>53.58608543</v>
      </c>
      <c r="H42" s="150" t="s">
        <v>228</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229</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230</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233</v>
      </c>
      <c r="D47" s="149">
        <f>'Ratios 2021'!D54</f>
        <v>5.38568123</v>
      </c>
      <c r="E47" s="149">
        <f>'Ratios 2022'!D54</f>
        <v>5.554011248</v>
      </c>
      <c r="F47" s="149">
        <f>'Ratios 2023'!D54</f>
        <v>4.729266601</v>
      </c>
      <c r="G47" s="177">
        <f>average(D47:F47)</f>
        <v>5.22298636</v>
      </c>
      <c r="H47" s="150" t="s">
        <v>234</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235</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236</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239</v>
      </c>
      <c r="D52" s="184">
        <f>'Ratios 2021'!D59</f>
        <v>0</v>
      </c>
      <c r="E52" s="184">
        <f>'Ratios 2022'!D59</f>
        <v>0</v>
      </c>
      <c r="F52" s="184">
        <f>'Ratios 2023'!D59</f>
        <v>0</v>
      </c>
      <c r="G52" s="185">
        <f>average(D52:F52)</f>
        <v>0</v>
      </c>
      <c r="H52" s="150" t="s">
        <v>240</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MULTIPLIER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MULTIPLIER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108512.0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2470361.0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3.4724848E7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1405780.0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37303721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2027946.0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297145.0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62801.0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2387892</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79198.0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53466.0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12680.0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12680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12680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228122.0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253488.0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-25366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-25366</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21744.0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60971.0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-39227</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99</v>
      </c>
      <c r="D39" s="74"/>
      <c r="E39" s="48">
        <v>73250.0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100</v>
      </c>
      <c r="D40" s="74"/>
      <c r="E40" s="48">
        <v>10418.0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101</v>
      </c>
      <c r="D41" s="74"/>
      <c r="E41" s="48">
        <v>8581.0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402.0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92651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39865015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MULTIPLIER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3602672</v>
      </c>
      <c r="D3" s="99">
        <v>3602672.0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1536192</v>
      </c>
      <c r="D5" s="99">
        <v>1536192.0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293263</v>
      </c>
      <c r="D7" s="99">
        <v>0.0</v>
      </c>
      <c r="E7" s="99">
        <v>293263.0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11800701</v>
      </c>
      <c r="D9" s="99">
        <v>9717625.0</v>
      </c>
      <c r="E9" s="99">
        <v>1178930.0</v>
      </c>
      <c r="F9" s="99">
        <v>904146.0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258227</v>
      </c>
      <c r="D10" s="99">
        <v>206687.0</v>
      </c>
      <c r="E10" s="99">
        <v>33154.0</v>
      </c>
      <c r="F10" s="99">
        <v>18386.0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1294399</v>
      </c>
      <c r="D11" s="99">
        <v>957107.0</v>
      </c>
      <c r="E11" s="99">
        <v>180454.0</v>
      </c>
      <c r="F11" s="99">
        <v>156838.0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947935</v>
      </c>
      <c r="D12" s="99">
        <v>797514.0</v>
      </c>
      <c r="E12" s="99">
        <v>93171.0</v>
      </c>
      <c r="F12" s="99">
        <v>57250.0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950536</v>
      </c>
      <c r="D14" s="99">
        <v>950536.0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20103</v>
      </c>
      <c r="D15" s="99">
        <v>20103.0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47042</v>
      </c>
      <c r="D16" s="99">
        <v>0.0</v>
      </c>
      <c r="E16" s="99">
        <v>47042.0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29100</v>
      </c>
      <c r="D17" s="99">
        <v>29100.0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6790</v>
      </c>
      <c r="D19" s="99">
        <v>0.0</v>
      </c>
      <c r="E19" s="99">
        <v>6790.0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6248690</v>
      </c>
      <c r="D20" s="99">
        <v>5906069.0</v>
      </c>
      <c r="E20" s="99">
        <v>109800.0</v>
      </c>
      <c r="F20" s="99">
        <v>232821.0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83851</v>
      </c>
      <c r="D22" s="99">
        <v>78195.0</v>
      </c>
      <c r="E22" s="99">
        <v>5656.0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228158</v>
      </c>
      <c r="D25" s="99">
        <v>218896.0</v>
      </c>
      <c r="E25" s="99">
        <v>9262.0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303084</v>
      </c>
      <c r="D26" s="99">
        <v>303020.0</v>
      </c>
      <c r="E26" s="99">
        <v>64.0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196412</v>
      </c>
      <c r="D28" s="99">
        <v>189951.0</v>
      </c>
      <c r="E28" s="99">
        <v>1308.0</v>
      </c>
      <c r="F28" s="99">
        <v>5153.0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58706</v>
      </c>
      <c r="D29" s="99">
        <v>58706.0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61488</v>
      </c>
      <c r="D32" s="99">
        <v>6442.0</v>
      </c>
      <c r="E32" s="99">
        <v>55046.0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102" t="s">
        <v>139</v>
      </c>
      <c r="C34" s="98">
        <f t="shared" si="1"/>
        <v>1291426</v>
      </c>
      <c r="D34" s="99">
        <v>1124594.0</v>
      </c>
      <c r="E34" s="99">
        <v>159062.0</v>
      </c>
      <c r="F34" s="99">
        <v>7770.0</v>
      </c>
      <c r="G34" s="43"/>
      <c r="H34" s="43"/>
      <c r="I34" s="43"/>
      <c r="J34" s="43"/>
      <c r="K34" s="43"/>
      <c r="L34" s="43"/>
      <c r="M34" s="43"/>
      <c r="N34" s="43"/>
      <c r="O34" s="43"/>
      <c r="P34" s="43"/>
      <c r="Q34" s="43"/>
      <c r="R34" s="43"/>
      <c r="S34" s="43"/>
      <c r="T34" s="43"/>
      <c r="U34" s="43"/>
      <c r="V34" s="43"/>
      <c r="W34" s="43"/>
      <c r="X34" s="43"/>
      <c r="Y34" s="43"/>
      <c r="Z34" s="43"/>
    </row>
    <row r="35">
      <c r="A35" s="45" t="s">
        <v>48</v>
      </c>
      <c r="B35" s="103" t="s">
        <v>140</v>
      </c>
      <c r="C35" s="98">
        <f t="shared" si="1"/>
        <v>321840</v>
      </c>
      <c r="D35" s="99">
        <v>303049.0</v>
      </c>
      <c r="E35" s="99">
        <v>11205.0</v>
      </c>
      <c r="F35" s="99">
        <v>7586.0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29580615</v>
      </c>
      <c r="D40" s="104">
        <f t="shared" si="2"/>
        <v>26006458</v>
      </c>
      <c r="E40" s="104">
        <f t="shared" si="2"/>
        <v>2184207</v>
      </c>
      <c r="F40" s="104">
        <f t="shared" si="2"/>
        <v>1389950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MULTIPLIER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643263.0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245264.0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6419026.0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1155379.0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3793992.0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264089.0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224514.0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15347.0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15347.0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3.0731948E7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18617.0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43496092</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2057143.0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309415.0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2823040.0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5189598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7442254.0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3.086424E7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38306494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43496092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MULTIPLIER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184</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185</v>
      </c>
      <c r="C3" s="145" t="s">
        <v>186</v>
      </c>
      <c r="D3" s="146">
        <f>'Expenses 2021'!C40</f>
        <v>29580615</v>
      </c>
      <c r="E3" s="147"/>
      <c r="F3" s="43"/>
      <c r="G3" s="43"/>
      <c r="H3" s="43"/>
      <c r="I3" s="43"/>
      <c r="J3" s="43"/>
      <c r="K3" s="43"/>
      <c r="L3" s="43"/>
      <c r="M3" s="43"/>
      <c r="N3" s="43"/>
      <c r="O3" s="43"/>
      <c r="P3" s="43"/>
      <c r="Q3" s="43"/>
      <c r="R3" s="43"/>
      <c r="S3" s="43"/>
      <c r="T3" s="43"/>
      <c r="U3" s="43"/>
      <c r="V3" s="43"/>
      <c r="W3" s="43"/>
      <c r="X3" s="43"/>
      <c r="Y3" s="43"/>
    </row>
    <row r="4">
      <c r="A4" s="139"/>
      <c r="B4" s="49"/>
      <c r="C4" s="145" t="s">
        <v>187</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188</v>
      </c>
      <c r="D5" s="146">
        <f>D3-D4</f>
        <v>29580615</v>
      </c>
      <c r="E5" s="147"/>
      <c r="F5" s="43"/>
      <c r="G5" s="43"/>
      <c r="H5" s="43"/>
      <c r="I5" s="43"/>
      <c r="J5" s="43"/>
      <c r="K5" s="43"/>
      <c r="L5" s="43"/>
      <c r="M5" s="43"/>
      <c r="N5" s="43"/>
      <c r="O5" s="43"/>
      <c r="P5" s="43"/>
      <c r="Q5" s="43"/>
      <c r="R5" s="43"/>
      <c r="S5" s="43"/>
      <c r="T5" s="43"/>
      <c r="U5" s="43"/>
      <c r="V5" s="43"/>
      <c r="W5" s="43"/>
      <c r="X5" s="43"/>
      <c r="Y5" s="43"/>
    </row>
    <row r="6">
      <c r="A6" s="139"/>
      <c r="B6" s="49"/>
      <c r="C6" s="145" t="s">
        <v>189</v>
      </c>
      <c r="D6" s="146">
        <f>D5/12</f>
        <v>2465051.25</v>
      </c>
      <c r="E6" s="147"/>
      <c r="F6" s="43"/>
      <c r="G6" s="43"/>
      <c r="H6" s="43"/>
      <c r="I6" s="43"/>
      <c r="J6" s="43"/>
      <c r="K6" s="43"/>
      <c r="L6" s="43"/>
      <c r="M6" s="43"/>
      <c r="N6" s="43"/>
      <c r="O6" s="43"/>
      <c r="P6" s="43"/>
      <c r="Q6" s="43"/>
      <c r="R6" s="43"/>
      <c r="S6" s="43"/>
      <c r="T6" s="43"/>
      <c r="U6" s="43"/>
      <c r="V6" s="43"/>
      <c r="W6" s="43"/>
      <c r="X6" s="43"/>
      <c r="Y6" s="43"/>
    </row>
    <row r="7">
      <c r="A7" s="139"/>
      <c r="B7" s="49"/>
      <c r="C7" s="145" t="s">
        <v>190</v>
      </c>
      <c r="D7" s="75">
        <f>'Balance Sheet 2021'!E2+'Balance Sheet 2021'!E3</f>
        <v>888527</v>
      </c>
      <c r="E7" s="147"/>
      <c r="F7" s="43"/>
      <c r="G7" s="43"/>
      <c r="H7" s="43"/>
      <c r="I7" s="43"/>
      <c r="J7" s="43"/>
      <c r="K7" s="43"/>
      <c r="L7" s="43"/>
      <c r="M7" s="43"/>
      <c r="N7" s="43"/>
      <c r="O7" s="43"/>
      <c r="P7" s="43"/>
      <c r="Q7" s="43"/>
      <c r="R7" s="43"/>
      <c r="S7" s="43"/>
      <c r="T7" s="43"/>
      <c r="U7" s="43"/>
      <c r="V7" s="43"/>
      <c r="W7" s="43"/>
      <c r="X7" s="43"/>
      <c r="Y7" s="43"/>
    </row>
    <row r="8">
      <c r="A8" s="139"/>
      <c r="B8" s="49"/>
      <c r="C8" s="148" t="s">
        <v>184</v>
      </c>
      <c r="D8" s="149">
        <f>D7/D6</f>
        <v>0.3604497067</v>
      </c>
      <c r="E8" s="150" t="s">
        <v>191</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192</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193</v>
      </c>
      <c r="C11" s="145" t="s">
        <v>194</v>
      </c>
      <c r="D11" s="75">
        <f>'Balance Sheet 2021'!E30</f>
        <v>7442254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195</v>
      </c>
      <c r="D12" s="75">
        <f>'Expenses 2021'!C40</f>
        <v>29580615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196</v>
      </c>
      <c r="D13" s="146">
        <f>D12/12</f>
        <v>2465051.25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192</v>
      </c>
      <c r="D14" s="149">
        <f>D11/D13</f>
        <v>3.019107209</v>
      </c>
      <c r="E14" s="150" t="s">
        <v>191</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197</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198</v>
      </c>
      <c r="C17" s="145" t="s">
        <v>199</v>
      </c>
      <c r="D17" s="75">
        <f>sum('Balance Sheet 2021'!E13:E15)</f>
        <v>30731948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195</v>
      </c>
      <c r="D18" s="75">
        <f>'Expenses 2021'!C40</f>
        <v>29580615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196</v>
      </c>
      <c r="D19" s="146">
        <f>D18/12</f>
        <v>2465051.25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200</v>
      </c>
      <c r="D20" s="149">
        <f>D17/D19</f>
        <v>12.4670625</v>
      </c>
      <c r="E20" s="150" t="s">
        <v>191</v>
      </c>
      <c r="F20" s="43"/>
      <c r="G20" s="43"/>
      <c r="H20" s="43"/>
      <c r="I20" s="43"/>
      <c r="J20" s="43"/>
      <c r="K20" s="43"/>
      <c r="L20" s="43"/>
      <c r="M20" s="43"/>
      <c r="N20" s="43"/>
      <c r="O20" s="43"/>
      <c r="P20" s="43"/>
      <c r="Q20" s="43"/>
      <c r="R20" s="43"/>
      <c r="S20" s="43"/>
      <c r="T20" s="43"/>
      <c r="U20" s="43"/>
      <c r="V20" s="43"/>
      <c r="W20" s="43"/>
      <c r="X20" s="43"/>
      <c r="Y20" s="43"/>
    </row>
    <row r="21">
      <c r="A21" s="139"/>
      <c r="B21" s="49"/>
      <c r="C21" s="154" t="s">
        <v>201</v>
      </c>
      <c r="D21" s="155">
        <f>D20+D8</f>
        <v>12.82751221</v>
      </c>
      <c r="E21" s="156" t="s">
        <v>191</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202</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203</v>
      </c>
      <c r="C24" s="160"/>
      <c r="D24" s="161">
        <f>max('Revenues 2021'!E2:E7,'Revenues 2021'!F10:F15)</f>
        <v>34724848</v>
      </c>
      <c r="E24" s="162" t="s">
        <v>204</v>
      </c>
      <c r="F24" s="43"/>
      <c r="G24" s="43"/>
      <c r="H24" s="43"/>
      <c r="I24" s="43"/>
      <c r="J24" s="43"/>
      <c r="K24" s="43"/>
      <c r="L24" s="43"/>
      <c r="M24" s="43"/>
      <c r="N24" s="43"/>
      <c r="O24" s="43"/>
      <c r="P24" s="43"/>
      <c r="Q24" s="43"/>
      <c r="R24" s="43"/>
      <c r="S24" s="43"/>
      <c r="T24" s="43"/>
      <c r="U24" s="43"/>
      <c r="V24" s="43"/>
      <c r="W24" s="43"/>
      <c r="X24" s="43"/>
      <c r="Y24" s="43"/>
    </row>
    <row r="25">
      <c r="A25" s="139"/>
      <c r="B25" s="49"/>
      <c r="C25" s="145" t="s">
        <v>205</v>
      </c>
      <c r="D25" s="146">
        <f>'Revenues 2021'!F44</f>
        <v>39865015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202</v>
      </c>
      <c r="D26" s="163">
        <f>D24/D25</f>
        <v>0.8710607032</v>
      </c>
      <c r="E26" s="150" t="s">
        <v>206</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207</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208</v>
      </c>
      <c r="C29" s="145" t="s">
        <v>209</v>
      </c>
      <c r="D29" s="75">
        <f>SUM('Expenses 2021'!C7:C9)</f>
        <v>12093964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210</v>
      </c>
      <c r="D30" s="75">
        <f>SUM('Expenses 2021'!C10:C12)</f>
        <v>2500561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211</v>
      </c>
      <c r="D31" s="75">
        <f>sum(D29:D30)</f>
        <v>14594525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186</v>
      </c>
      <c r="D32" s="75">
        <f>'Expenses 2021'!C40</f>
        <v>29580615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212</v>
      </c>
      <c r="D33" s="163">
        <f>D31/D32</f>
        <v>0.4933813918</v>
      </c>
      <c r="E33" s="150" t="s">
        <v>213</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214</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215</v>
      </c>
      <c r="C36" s="145" t="s">
        <v>216</v>
      </c>
      <c r="D36" s="75">
        <f>SUM('Expenses 2021'!C10:C11)</f>
        <v>1552626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209</v>
      </c>
      <c r="D37" s="75">
        <f>SUM('Expenses 2021'!C7:C9)</f>
        <v>12093964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214</v>
      </c>
      <c r="D38" s="163">
        <f>D36/D37</f>
        <v>0.1283802399</v>
      </c>
      <c r="E38" s="150" t="s">
        <v>217</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218</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219</v>
      </c>
      <c r="C41" s="148" t="s">
        <v>220</v>
      </c>
      <c r="D41" s="75">
        <f>'Expenses 2021'!D40</f>
        <v>26006458</v>
      </c>
      <c r="E41" s="165">
        <f t="shared" ref="E41:E44" si="1">D41/$D$44</f>
        <v>0.8791723228</v>
      </c>
      <c r="F41" s="43"/>
      <c r="G41" s="43"/>
      <c r="H41" s="43"/>
      <c r="I41" s="43"/>
      <c r="J41" s="43"/>
      <c r="K41" s="43"/>
      <c r="L41" s="43"/>
      <c r="M41" s="43"/>
      <c r="N41" s="43"/>
      <c r="O41" s="43"/>
      <c r="P41" s="43"/>
      <c r="Q41" s="43"/>
      <c r="R41" s="43"/>
      <c r="S41" s="43"/>
      <c r="T41" s="43"/>
      <c r="U41" s="43"/>
      <c r="V41" s="43"/>
      <c r="W41" s="43"/>
      <c r="X41" s="43"/>
      <c r="Y41" s="43"/>
    </row>
    <row r="42">
      <c r="A42" s="139"/>
      <c r="B42" s="49"/>
      <c r="C42" s="148" t="s">
        <v>221</v>
      </c>
      <c r="D42" s="146">
        <f>'Expenses 2021'!E40</f>
        <v>2184207</v>
      </c>
      <c r="E42" s="165">
        <f t="shared" si="1"/>
        <v>0.07383913418</v>
      </c>
      <c r="F42" s="43"/>
      <c r="G42" s="43"/>
      <c r="H42" s="43"/>
      <c r="I42" s="43"/>
      <c r="J42" s="43"/>
      <c r="K42" s="43"/>
      <c r="L42" s="43"/>
      <c r="M42" s="43"/>
      <c r="N42" s="43"/>
      <c r="O42" s="43"/>
      <c r="P42" s="43"/>
      <c r="Q42" s="43"/>
      <c r="R42" s="43"/>
      <c r="S42" s="43"/>
      <c r="T42" s="43"/>
      <c r="U42" s="43"/>
      <c r="V42" s="43"/>
      <c r="W42" s="43"/>
      <c r="X42" s="43"/>
      <c r="Y42" s="43"/>
    </row>
    <row r="43">
      <c r="A43" s="139"/>
      <c r="B43" s="49"/>
      <c r="C43" s="148" t="s">
        <v>222</v>
      </c>
      <c r="D43" s="146">
        <f>'Expenses 2021'!F40</f>
        <v>1389950</v>
      </c>
      <c r="E43" s="165">
        <f t="shared" si="1"/>
        <v>0.046988543</v>
      </c>
      <c r="F43" s="43"/>
      <c r="G43" s="43"/>
      <c r="H43" s="43"/>
      <c r="I43" s="43"/>
      <c r="J43" s="43"/>
      <c r="K43" s="43"/>
      <c r="L43" s="43"/>
      <c r="M43" s="43"/>
      <c r="N43" s="43"/>
      <c r="O43" s="43"/>
      <c r="P43" s="43"/>
      <c r="Q43" s="43"/>
      <c r="R43" s="43"/>
      <c r="S43" s="43"/>
      <c r="T43" s="43"/>
      <c r="U43" s="43"/>
      <c r="V43" s="43"/>
      <c r="W43" s="43"/>
      <c r="X43" s="43"/>
      <c r="Y43" s="43"/>
    </row>
    <row r="44">
      <c r="A44" s="139"/>
      <c r="B44" s="49"/>
      <c r="C44" s="145" t="s">
        <v>186</v>
      </c>
      <c r="D44" s="146">
        <f>sum(D41:D43)</f>
        <v>29580615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223</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224</v>
      </c>
      <c r="C47" s="145" t="s">
        <v>225</v>
      </c>
      <c r="D47" s="146">
        <f>'Revenues 2021'!F9</f>
        <v>37303721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226</v>
      </c>
      <c r="D48" s="146">
        <f>'Expenses 2021'!F40</f>
        <v>1389950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227</v>
      </c>
      <c r="D49" s="166">
        <f>if(D48=0, "$0",D47/D48)</f>
        <v>26.83817475</v>
      </c>
      <c r="E49" s="150" t="s">
        <v>228</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229</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230</v>
      </c>
      <c r="C52" s="145" t="s">
        <v>231</v>
      </c>
      <c r="D52" s="146">
        <f>sum('Balance Sheet 2021'!E2:E10)</f>
        <v>12745527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232</v>
      </c>
      <c r="D53" s="146">
        <f>sum('Balance Sheet 2021'!E19:E22)</f>
        <v>2366558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233</v>
      </c>
      <c r="D54" s="168">
        <f>D52/D53</f>
        <v>5.38568123</v>
      </c>
      <c r="E54" s="150" t="s">
        <v>234</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235</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236</v>
      </c>
      <c r="C57" s="145" t="s">
        <v>237</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238</v>
      </c>
      <c r="D58" s="146">
        <f>'Balance Sheet 2021'!E18</f>
        <v>43496092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239</v>
      </c>
      <c r="D59" s="169">
        <f>D57/D58</f>
        <v>0</v>
      </c>
      <c r="E59" s="150" t="s">
        <v>240</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MULTIPLIER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173933.0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2032308.0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5.2059622E7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5105656.0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54265863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1314307.0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462889.0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163811.0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1941007</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386439.0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60505.0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12600.0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12600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12600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241</v>
      </c>
      <c r="D26" s="50">
        <v>5100241.0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5497742.0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-397501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-397501</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14390.0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5446.0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8944</v>
      </c>
      <c r="G38" s="43"/>
      <c r="H38" s="43"/>
      <c r="I38" s="43"/>
      <c r="J38" s="43"/>
      <c r="K38" s="43"/>
      <c r="L38" s="43"/>
      <c r="M38" s="43"/>
      <c r="N38" s="43"/>
      <c r="O38" s="43"/>
      <c r="P38" s="43"/>
      <c r="Q38" s="43"/>
      <c r="R38" s="43"/>
      <c r="S38" s="43"/>
      <c r="T38" s="43"/>
      <c r="U38" s="43"/>
      <c r="V38" s="43"/>
      <c r="W38" s="43"/>
      <c r="X38" s="43"/>
      <c r="Y38" s="43"/>
      <c r="Z38" s="43"/>
    </row>
    <row r="39">
      <c r="A39" s="49"/>
      <c r="B39" s="45" t="s">
        <v>98</v>
      </c>
      <c r="C39" s="60" t="s">
        <v>100</v>
      </c>
      <c r="D39" s="74"/>
      <c r="E39" s="48">
        <v>65420.0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101</v>
      </c>
      <c r="D40" s="74"/>
      <c r="E40" s="48">
        <v>60226.0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99</v>
      </c>
      <c r="D41" s="74"/>
      <c r="E41" s="48">
        <v>31495.0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8320.0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165461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56443318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MULTIPLIER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2789260</v>
      </c>
      <c r="D3" s="99">
        <v>2789260.0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150000</v>
      </c>
      <c r="D4" s="99">
        <v>150000.0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1224073</v>
      </c>
      <c r="D5" s="99">
        <v>1224073.0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290081</v>
      </c>
      <c r="D7" s="99">
        <v>0.0</v>
      </c>
      <c r="E7" s="99">
        <v>290081.0</v>
      </c>
      <c r="F7" s="99">
        <v>0.0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14863694</v>
      </c>
      <c r="D9" s="99">
        <v>1.2366935E7</v>
      </c>
      <c r="E9" s="99">
        <v>1848371.0</v>
      </c>
      <c r="F9" s="99">
        <v>648388.0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431247</v>
      </c>
      <c r="D10" s="99">
        <v>354761.0</v>
      </c>
      <c r="E10" s="99">
        <v>56992.0</v>
      </c>
      <c r="F10" s="99">
        <v>19494.0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1387457</v>
      </c>
      <c r="D11" s="99">
        <v>1145081.0</v>
      </c>
      <c r="E11" s="99">
        <v>182559.0</v>
      </c>
      <c r="F11" s="99">
        <v>59817.0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1160337</v>
      </c>
      <c r="D12" s="99">
        <v>975738.0</v>
      </c>
      <c r="E12" s="99">
        <v>136189.0</v>
      </c>
      <c r="F12" s="99">
        <v>48410.0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574851</v>
      </c>
      <c r="D14" s="99">
        <v>496891.0</v>
      </c>
      <c r="E14" s="99">
        <v>0.0</v>
      </c>
      <c r="F14" s="99">
        <v>77960.0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147652</v>
      </c>
      <c r="D15" s="99">
        <v>101667.0</v>
      </c>
      <c r="E15" s="99">
        <v>45985.0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50672</v>
      </c>
      <c r="D16" s="99">
        <v>0.0</v>
      </c>
      <c r="E16" s="99">
        <v>50672.0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8083009</v>
      </c>
      <c r="D20" s="99">
        <v>7705314.0</v>
      </c>
      <c r="E20" s="99">
        <v>225748.0</v>
      </c>
      <c r="F20" s="99">
        <v>151947.0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82861</v>
      </c>
      <c r="D22" s="99">
        <v>79369.0</v>
      </c>
      <c r="E22" s="99">
        <v>3476.0</v>
      </c>
      <c r="F22" s="99">
        <v>16.0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224116</v>
      </c>
      <c r="D25" s="99">
        <v>221656.0</v>
      </c>
      <c r="E25" s="99">
        <v>2460.0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995715</v>
      </c>
      <c r="D26" s="99">
        <v>951354.0</v>
      </c>
      <c r="E26" s="99">
        <v>32467.0</v>
      </c>
      <c r="F26" s="99">
        <v>11894.0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882372</v>
      </c>
      <c r="D28" s="99">
        <v>841250.0</v>
      </c>
      <c r="E28" s="99">
        <v>23569.0</v>
      </c>
      <c r="F28" s="99">
        <v>17553.0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68485</v>
      </c>
      <c r="D29" s="99">
        <v>68485.0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83909</v>
      </c>
      <c r="D32" s="99">
        <v>24950.0</v>
      </c>
      <c r="E32" s="99">
        <v>58959.0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60" t="s">
        <v>139</v>
      </c>
      <c r="C34" s="98">
        <f t="shared" si="1"/>
        <v>1858993</v>
      </c>
      <c r="D34" s="99">
        <v>1638512.0</v>
      </c>
      <c r="E34" s="99">
        <v>211353.0</v>
      </c>
      <c r="F34" s="99">
        <v>9128.0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437378</v>
      </c>
      <c r="D35" s="99">
        <v>305072.0</v>
      </c>
      <c r="E35" s="99">
        <v>124678.0</v>
      </c>
      <c r="F35" s="99">
        <v>7628.0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4">
        <f t="shared" ref="C40:F40" si="2">sum(C3:C39)</f>
        <v>35786162</v>
      </c>
      <c r="D40" s="104">
        <f t="shared" si="2"/>
        <v>31440368</v>
      </c>
      <c r="E40" s="104">
        <f t="shared" si="2"/>
        <v>3293559</v>
      </c>
      <c r="F40" s="104">
        <f t="shared" si="2"/>
        <v>1052235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MULTIPLIER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143</v>
      </c>
      <c r="B2" s="45">
        <v>1.0</v>
      </c>
      <c r="C2" s="46" t="s">
        <v>144</v>
      </c>
      <c r="D2" s="111"/>
      <c r="E2" s="112">
        <v>734577.0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3"/>
      <c r="E3" s="112">
        <v>100832.0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1"/>
      <c r="E4" s="112">
        <v>1.0336262E7</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3"/>
      <c r="E5" s="112">
        <v>959811.0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3"/>
      <c r="E8" s="112">
        <v>5285999.0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3"/>
      <c r="E9" s="112">
        <v>223668.0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1"/>
      <c r="E10" s="112">
        <v>323878.0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2">
        <v>15347.0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2">
        <v>15347.0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3"/>
      <c r="E13" s="112">
        <v>4.7350218E7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3"/>
      <c r="E17" s="112">
        <v>12716.0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4"/>
      <c r="E18" s="115">
        <f>sum(E2:E17)</f>
        <v>65327961</v>
      </c>
      <c r="F18" s="43"/>
      <c r="G18" s="43"/>
      <c r="H18" s="43"/>
      <c r="I18" s="43"/>
      <c r="J18" s="43"/>
      <c r="K18" s="43"/>
      <c r="L18" s="43"/>
      <c r="M18" s="43"/>
      <c r="N18" s="43"/>
      <c r="O18" s="43"/>
      <c r="P18" s="43"/>
      <c r="Q18" s="43"/>
      <c r="R18" s="43"/>
      <c r="S18" s="43"/>
      <c r="T18" s="43"/>
      <c r="U18" s="43"/>
      <c r="V18" s="43"/>
      <c r="W18" s="43"/>
      <c r="X18" s="43"/>
      <c r="Y18" s="43"/>
      <c r="Z18" s="43"/>
    </row>
    <row r="19">
      <c r="A19" s="44" t="s">
        <v>163</v>
      </c>
      <c r="B19" s="116">
        <v>17.0</v>
      </c>
      <c r="C19" s="117" t="s">
        <v>164</v>
      </c>
      <c r="D19" s="118"/>
      <c r="E19" s="112">
        <v>2604681.0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165</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166</v>
      </c>
      <c r="D21" s="118"/>
      <c r="E21" s="112">
        <v>629923.0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167</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168</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169</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170</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171</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172</v>
      </c>
      <c r="D27" s="118"/>
      <c r="E27" s="119">
        <v>3721319.0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173</v>
      </c>
      <c r="D28" s="126"/>
      <c r="E28" s="127">
        <f>sum(E19:E27)</f>
        <v>6955923</v>
      </c>
      <c r="F28" s="43"/>
      <c r="G28" s="43"/>
      <c r="H28" s="43"/>
      <c r="I28" s="43"/>
      <c r="J28" s="43"/>
      <c r="K28" s="43"/>
      <c r="L28" s="43"/>
      <c r="M28" s="43"/>
      <c r="N28" s="43"/>
      <c r="O28" s="43"/>
      <c r="P28" s="43"/>
      <c r="Q28" s="43"/>
      <c r="R28" s="43"/>
      <c r="S28" s="43"/>
      <c r="T28" s="43"/>
      <c r="U28" s="43"/>
      <c r="V28" s="43"/>
      <c r="W28" s="43"/>
      <c r="X28" s="43"/>
      <c r="Y28" s="43"/>
      <c r="Z28" s="43"/>
    </row>
    <row r="29">
      <c r="A29" s="65" t="s">
        <v>174</v>
      </c>
      <c r="B29" s="128"/>
      <c r="C29" s="129" t="s">
        <v>175</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176</v>
      </c>
      <c r="D30" s="118"/>
      <c r="E30" s="112">
        <v>8333046.0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177</v>
      </c>
      <c r="D31" s="118"/>
      <c r="E31" s="112">
        <v>5.0038992E7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178</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179</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180</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181</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182</v>
      </c>
      <c r="D36" s="132"/>
      <c r="E36" s="127">
        <f>sum(E30:E35)</f>
        <v>58372038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183</v>
      </c>
      <c r="D37" s="136"/>
      <c r="E37" s="137">
        <f>E36+E28</f>
        <v>65327961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