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2" sheetId="3" r:id="rId7"/>
    <sheet state="visible" name="Expenses 2022" sheetId="4" r:id="rId8"/>
    <sheet state="visible" name="Balance Sheet 2022" sheetId="5" r:id="rId9"/>
    <sheet state="visible" name="Ratios 2022" sheetId="6" r:id="rId10"/>
    <sheet state="visible" name="Revenues 2023" sheetId="7" r:id="rId11"/>
    <sheet state="visible" name="Expenses 2023" sheetId="8" r:id="rId12"/>
    <sheet state="visible" name="Balance Sheet 2023" sheetId="9" r:id="rId13"/>
    <sheet state="visible" name="Ratios 2023" sheetId="10" r:id="rId14"/>
    <sheet state="visible" name="Revenues 2024" sheetId="11" r:id="rId15"/>
    <sheet state="visible" name="Expenses 2024" sheetId="12" r:id="rId16"/>
    <sheet state="visible" name="Balance Sheet 2024" sheetId="13" r:id="rId17"/>
    <sheet state="visible" name="Ratios 2024" sheetId="14" r:id="rId18"/>
    <sheet state="visible" name="Multi-Year Ratios" sheetId="15" r:id="rId19"/>
  </sheets>
  <definedNames/>
  <calcPr/>
</workbook>
</file>

<file path=xl/sharedStrings.xml><?xml version="1.0" encoding="utf-8"?>
<sst xmlns="http://schemas.openxmlformats.org/spreadsheetml/2006/main" count="872" uniqueCount="252">
  <si>
    <t>FRANK LLOYD WRIGHT TRUST</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</si>
  <si>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</si>
  <si>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</si>
  <si>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</si>
  <si>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</si>
  <si>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</si>
  <si>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</si>
  <si>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</si>
  <si>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</si>
  <si>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</si>
  <si>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</si>
  <si>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</si>
  <si>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</si>
  <si>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</si>
  <si>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</si>
  <si>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</si>
  <si>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</si>
  <si>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</si>
  <si>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</si>
  <si>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</si>
  <si>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</si>
  <si>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</si>
  <si>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</si>
  <si>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</si>
  <si>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</si>
  <si>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</si>
  <si>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</si>
  <si>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</si>
  <si>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</si>
  <si>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</si>
  <si>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</si>
  <si>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</si>
  <si>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</si>
  <si>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</si>
  <si>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</si>
  <si>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</si>
  <si>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</si>
  <si>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</si>
  <si>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</si>
  <si>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</si>
  <si>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</si>
  <si>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</si>
  <si>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</si>
  <si>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</si>
  <si>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</si>
  <si>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</si>
  <si>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</si>
  <si>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</si>
  <si>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</si>
  <si>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</si>
  <si>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</si>
  <si>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</si>
  <si>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</si>
  <si>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</si>
  <si>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</si>
  <si>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</si>
  <si>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</si>
  <si>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</si>
  <si>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</si>
  <si>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</si>
  <si>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</si>
  <si>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</si>
  <si>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</si>
  <si>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</si>
  <si>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TOURS AND EDUCATION</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</si>
  <si>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</si>
  <si>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</si>
  <si>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</si>
  <si>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</si>
  <si>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</si>
  <si>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</si>
  <si>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</si>
  <si>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</si>
  <si>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</si>
  <si>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</si>
  <si>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</si>
  <si>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</si>
  <si>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</si>
  <si>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</si>
  <si>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</si>
  <si>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</si>
  <si>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</si>
  <si>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</si>
  <si>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</si>
  <si>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</si>
  <si>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</si>
  <si>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</si>
  <si>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</si>
  <si>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</si>
  <si>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</si>
  <si>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</si>
  <si>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</si>
  <si>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</si>
  <si>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</si>
  <si>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</si>
  <si>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</si>
  <si>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</si>
  <si>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OTHER INCOME</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</si>
  <si>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</si>
  <si>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</si>
  <si>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</si>
  <si>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</si>
  <si>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</si>
  <si>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</si>
  <si>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</si>
  <si>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</si>
  <si>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</si>
  <si>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</si>
  <si>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</si>
  <si>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</si>
  <si>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</si>
  <si>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</si>
  <si>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</si>
  <si>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</si>
  <si>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</si>
  <si>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</si>
  <si>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</si>
  <si>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</si>
  <si>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</si>
  <si>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</si>
  <si>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</si>
  <si>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</si>
  <si>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</si>
  <si>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</si>
  <si>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</si>
  <si>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</si>
  <si>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</si>
  <si>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</si>
  <si>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</si>
  <si>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</si>
  <si>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</si>
  <si>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</si>
  <si>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</si>
  <si>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</si>
  <si>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</si>
  <si>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TRAVEL PROGRAM</t>
  </si>
  <si>
    <t>COMMUNICATION</t>
  </si>
  <si>
    <t>EQUIPMENT RENTAL</t>
  </si>
  <si>
    <t>BANK CARD FEES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</si>
  <si>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</si>
  <si>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</si>
  <si>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</si>
  <si>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</si>
  <si>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</si>
  <si>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</si>
  <si>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</si>
  <si>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</si>
  <si>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</si>
  <si>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</si>
  <si>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</si>
  <si>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</si>
  <si>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</si>
  <si>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</si>
  <si>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</si>
  <si>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</si>
  <si>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</si>
  <si>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</si>
  <si>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</si>
  <si>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</si>
  <si>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</si>
  <si>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</si>
  <si>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</si>
  <si>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</si>
  <si>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</si>
  <si>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</si>
  <si>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</si>
  <si>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</si>
  <si>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</si>
  <si>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</si>
  <si>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</si>
  <si>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</si>
  <si>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</si>
  <si>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</si>
  <si>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</si>
  <si>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</si>
  <si>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</si>
  <si>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</si>
  <si>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</si>
  <si>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</si>
  <si>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</si>
  <si>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</si>
  <si>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</si>
  <si>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</si>
  <si>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</si>
  <si>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</si>
  <si>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</si>
  <si>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</si>
  <si>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</si>
  <si>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</si>
  <si>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</si>
  <si>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</si>
  <si>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</si>
  <si>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</si>
  <si>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</si>
  <si>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</si>
  <si>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</si>
  <si>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</si>
  <si>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</si>
  <si>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</si>
  <si>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</si>
  <si>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</si>
  <si>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</si>
  <si>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</si>
  <si>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</si>
  <si>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</si>
  <si>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</si>
  <si>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</si>
  <si>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</si>
  <si>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</si>
  <si>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</si>
  <si>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</si>
  <si>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</si>
  <si>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</si>
  <si>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</si>
  <si>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</si>
  <si>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</si>
  <si>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</si>
  <si>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</si>
  <si>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</si>
  <si>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</si>
  <si>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</si>
  <si>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</si>
  <si>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</si>
  <si>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</si>
  <si>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</si>
  <si>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</si>
  <si>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</si>
  <si>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</si>
  <si>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</si>
  <si>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</si>
  <si>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</si>
  <si>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</si>
  <si>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</si>
  <si>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</si>
  <si>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</si>
  <si>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</si>
  <si>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</si>
  <si>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</si>
  <si>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</si>
  <si>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</si>
  <si>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 xml:space="preserve"> HOSPITALITY</t>
  </si>
  <si>
    <t>PHOTOGRAPHY</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</si>
  <si>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</si>
  <si>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</si>
  <si>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HOSPITALITY</t>
  </si>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</sst>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FRANK LLOYD WRIGHT TRUST</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182</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183</v>
      </c>
      <c r="C3" s="144" t="s">
        <v>184</v>
      </c>
      <c r="D3" s="145">
        <f>'Expenses 2023'!C40</f>
        <v>3838977</v>
      </c>
      <c r="E3" s="146"/>
      <c r="F3" s="43"/>
      <c r="G3" s="43"/>
      <c r="H3" s="43"/>
      <c r="I3" s="43"/>
      <c r="J3" s="43"/>
      <c r="K3" s="43"/>
      <c r="L3" s="43"/>
      <c r="M3" s="43"/>
      <c r="N3" s="43"/>
      <c r="O3" s="43"/>
      <c r="P3" s="43"/>
      <c r="Q3" s="43"/>
      <c r="R3" s="43"/>
      <c r="S3" s="43"/>
      <c r="T3" s="43"/>
      <c r="U3" s="43"/>
      <c r="V3" s="43"/>
      <c r="W3" s="43"/>
      <c r="X3" s="43"/>
      <c r="Y3" s="43"/>
    </row>
    <row r="4">
      <c r="A4" s="138"/>
      <c r="B4" s="49"/>
      <c r="C4" s="144" t="s">
        <v>185</v>
      </c>
      <c r="D4" s="145">
        <f>'Expenses 2023'!C31</f>
        <v>365004</v>
      </c>
      <c r="E4" s="146"/>
      <c r="F4" s="43"/>
      <c r="G4" s="43"/>
      <c r="H4" s="43"/>
      <c r="I4" s="43"/>
      <c r="J4" s="43"/>
      <c r="K4" s="43"/>
      <c r="L4" s="43"/>
      <c r="M4" s="43"/>
      <c r="N4" s="43"/>
      <c r="O4" s="43"/>
      <c r="P4" s="43"/>
      <c r="Q4" s="43"/>
      <c r="R4" s="43"/>
      <c r="S4" s="43"/>
      <c r="T4" s="43"/>
      <c r="U4" s="43"/>
      <c r="V4" s="43"/>
      <c r="W4" s="43"/>
      <c r="X4" s="43"/>
      <c r="Y4" s="43"/>
    </row>
    <row r="5">
      <c r="A5" s="138"/>
      <c r="B5" s="49"/>
      <c r="C5" s="144" t="s">
        <v>186</v>
      </c>
      <c r="D5" s="145">
        <f>D3-D4</f>
        <v>3473973</v>
      </c>
      <c r="E5" s="146"/>
      <c r="F5" s="43"/>
      <c r="G5" s="43"/>
      <c r="H5" s="43"/>
      <c r="I5" s="43"/>
      <c r="J5" s="43"/>
      <c r="K5" s="43"/>
      <c r="L5" s="43"/>
      <c r="M5" s="43"/>
      <c r="N5" s="43"/>
      <c r="O5" s="43"/>
      <c r="P5" s="43"/>
      <c r="Q5" s="43"/>
      <c r="R5" s="43"/>
      <c r="S5" s="43"/>
      <c r="T5" s="43"/>
      <c r="U5" s="43"/>
      <c r="V5" s="43"/>
      <c r="W5" s="43"/>
      <c r="X5" s="43"/>
      <c r="Y5" s="43"/>
    </row>
    <row r="6">
      <c r="A6" s="138"/>
      <c r="B6" s="49"/>
      <c r="C6" s="144" t="s">
        <v>187</v>
      </c>
      <c r="D6" s="145">
        <f>D5/12</f>
        <v>289497.75</v>
      </c>
      <c r="E6" s="146"/>
      <c r="F6" s="43"/>
      <c r="G6" s="43"/>
      <c r="H6" s="43"/>
      <c r="I6" s="43"/>
      <c r="J6" s="43"/>
      <c r="K6" s="43"/>
      <c r="L6" s="43"/>
      <c r="M6" s="43"/>
      <c r="N6" s="43"/>
      <c r="O6" s="43"/>
      <c r="P6" s="43"/>
      <c r="Q6" s="43"/>
      <c r="R6" s="43"/>
      <c r="S6" s="43"/>
      <c r="T6" s="43"/>
      <c r="U6" s="43"/>
      <c r="V6" s="43"/>
      <c r="W6" s="43"/>
      <c r="X6" s="43"/>
      <c r="Y6" s="43"/>
    </row>
    <row r="7">
      <c r="A7" s="138"/>
      <c r="B7" s="49"/>
      <c r="C7" s="144" t="s">
        <v>188</v>
      </c>
      <c r="D7" s="75">
        <f>'Balance Sheet 2023'!E2+'Balance Sheet 2023'!E3</f>
        <v>3288975</v>
      </c>
      <c r="E7" s="146"/>
      <c r="F7" s="43"/>
      <c r="G7" s="43"/>
      <c r="H7" s="43"/>
      <c r="I7" s="43"/>
      <c r="J7" s="43"/>
      <c r="K7" s="43"/>
      <c r="L7" s="43"/>
      <c r="M7" s="43"/>
      <c r="N7" s="43"/>
      <c r="O7" s="43"/>
      <c r="P7" s="43"/>
      <c r="Q7" s="43"/>
      <c r="R7" s="43"/>
      <c r="S7" s="43"/>
      <c r="T7" s="43"/>
      <c r="U7" s="43"/>
      <c r="V7" s="43"/>
      <c r="W7" s="43"/>
      <c r="X7" s="43"/>
      <c r="Y7" s="43"/>
    </row>
    <row r="8">
      <c r="A8" s="138"/>
      <c r="B8" s="49"/>
      <c r="C8" s="147" t="s">
        <v>182</v>
      </c>
      <c r="D8" s="148">
        <f>D7/D6</f>
        <v>11.36096913</v>
      </c>
      <c r="E8" s="149" t="s">
        <v>189</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190</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191</v>
      </c>
      <c r="C11" s="144" t="s">
        <v>192</v>
      </c>
      <c r="D11" s="75">
        <f>'Balance Sheet 2023'!E30</f>
        <v>7895858</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193</v>
      </c>
      <c r="D12" s="75">
        <f>'Expenses 2023'!C40</f>
        <v>3838977</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194</v>
      </c>
      <c r="D13" s="145">
        <f>D12/12</f>
        <v>319914.75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190</v>
      </c>
      <c r="D14" s="148">
        <f>D11/D13</f>
        <v>24.68113146</v>
      </c>
      <c r="E14" s="149" t="s">
        <v>189</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195</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196</v>
      </c>
      <c r="C17" s="144" t="s">
        <v>197</v>
      </c>
      <c r="D17" s="75">
        <f>sum('Balance Sheet 2023'!E13:E15)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193</v>
      </c>
      <c r="D18" s="75">
        <f>'Expenses 2023'!C40</f>
        <v>3838977</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194</v>
      </c>
      <c r="D19" s="145">
        <f>D18/12</f>
        <v>319914.75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198</v>
      </c>
      <c r="D20" s="148">
        <f>D17/D19</f>
        <v>0</v>
      </c>
      <c r="E20" s="149" t="s">
        <v>189</v>
      </c>
      <c r="F20" s="43"/>
      <c r="G20" s="43"/>
      <c r="H20" s="43"/>
      <c r="I20" s="43"/>
      <c r="J20" s="43"/>
      <c r="K20" s="43"/>
      <c r="L20" s="43"/>
      <c r="M20" s="43"/>
      <c r="N20" s="43"/>
      <c r="O20" s="43"/>
      <c r="P20" s="43"/>
      <c r="Q20" s="43"/>
      <c r="R20" s="43"/>
      <c r="S20" s="43"/>
      <c r="T20" s="43"/>
      <c r="U20" s="43"/>
      <c r="V20" s="43"/>
      <c r="W20" s="43"/>
      <c r="X20" s="43"/>
      <c r="Y20" s="43"/>
    </row>
    <row r="21">
      <c r="A21" s="138"/>
      <c r="B21" s="49"/>
      <c r="C21" s="153" t="s">
        <v>199</v>
      </c>
      <c r="D21" s="154">
        <f>D20+D8</f>
        <v>11.36096913</v>
      </c>
      <c r="E21" s="155" t="s">
        <v>189</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200</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201</v>
      </c>
      <c r="C24" s="159"/>
      <c r="D24" s="160">
        <f>max('Revenues 2023'!E2:E7,'Revenues 2023'!F10:F15)</f>
        <v>2758076</v>
      </c>
      <c r="E24" s="161" t="s">
        <v>202</v>
      </c>
      <c r="F24" s="43"/>
      <c r="G24" s="43"/>
      <c r="H24" s="43"/>
      <c r="I24" s="43"/>
      <c r="J24" s="43"/>
      <c r="K24" s="43"/>
      <c r="L24" s="43"/>
      <c r="M24" s="43"/>
      <c r="N24" s="43"/>
      <c r="O24" s="43"/>
      <c r="P24" s="43"/>
      <c r="Q24" s="43"/>
      <c r="R24" s="43"/>
      <c r="S24" s="43"/>
      <c r="T24" s="43"/>
      <c r="U24" s="43"/>
      <c r="V24" s="43"/>
      <c r="W24" s="43"/>
      <c r="X24" s="43"/>
      <c r="Y24" s="43"/>
    </row>
    <row r="25">
      <c r="A25" s="138"/>
      <c r="B25" s="49"/>
      <c r="C25" s="144" t="s">
        <v>203</v>
      </c>
      <c r="D25" s="145">
        <f>'Revenues 2023'!F44</f>
        <v>6089999</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200</v>
      </c>
      <c r="D26" s="162">
        <f>D24/D25</f>
        <v>0.4528861171</v>
      </c>
      <c r="E26" s="149" t="s">
        <v>204</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205</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206</v>
      </c>
      <c r="C29" s="144" t="s">
        <v>207</v>
      </c>
      <c r="D29" s="75">
        <f>SUM('Expenses 2023'!C7:C9)</f>
        <v>1634240</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208</v>
      </c>
      <c r="D30" s="75">
        <f>SUM('Expenses 2023'!C10:C12)</f>
        <v>358699</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209</v>
      </c>
      <c r="D31" s="75">
        <f>sum(D29:D30)</f>
        <v>1992939</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184</v>
      </c>
      <c r="D32" s="75">
        <f>'Expenses 2023'!C40</f>
        <v>3838977</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210</v>
      </c>
      <c r="D33" s="162">
        <f>D31/D32</f>
        <v>0.5191328315</v>
      </c>
      <c r="E33" s="149" t="s">
        <v>211</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212</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213</v>
      </c>
      <c r="C36" s="144" t="s">
        <v>214</v>
      </c>
      <c r="D36" s="75">
        <f>SUM('Expenses 2023'!C10:C11)</f>
        <v>230907</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207</v>
      </c>
      <c r="D37" s="75">
        <f>SUM('Expenses 2023'!C7:C9)</f>
        <v>1634240</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212</v>
      </c>
      <c r="D38" s="162">
        <f>D36/D37</f>
        <v>0.1412932005</v>
      </c>
      <c r="E38" s="149" t="s">
        <v>215</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216</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217</v>
      </c>
      <c r="C41" s="147" t="s">
        <v>242</v>
      </c>
      <c r="D41" s="75">
        <f>'Expenses 2023'!D40</f>
        <v>1985081</v>
      </c>
      <c r="E41" s="164">
        <f t="shared" ref="E41:E44" si="1">D41/$D$44</f>
        <v>0.517085932</v>
      </c>
      <c r="F41" s="43"/>
      <c r="G41" s="43"/>
      <c r="H41" s="43"/>
      <c r="I41" s="43"/>
      <c r="J41" s="43"/>
      <c r="K41" s="43"/>
      <c r="L41" s="43"/>
      <c r="M41" s="43"/>
      <c r="N41" s="43"/>
      <c r="O41" s="43"/>
      <c r="P41" s="43"/>
      <c r="Q41" s="43"/>
      <c r="R41" s="43"/>
      <c r="S41" s="43"/>
      <c r="T41" s="43"/>
      <c r="U41" s="43"/>
      <c r="V41" s="43"/>
      <c r="W41" s="43"/>
      <c r="X41" s="43"/>
      <c r="Y41" s="43"/>
    </row>
    <row r="42">
      <c r="A42" s="138"/>
      <c r="B42" s="49"/>
      <c r="C42" s="147" t="s">
        <v>219</v>
      </c>
      <c r="D42" s="145">
        <f>'Expenses 2023'!E40</f>
        <v>1627588</v>
      </c>
      <c r="E42" s="164">
        <f t="shared" si="1"/>
        <v>0.4239639883</v>
      </c>
      <c r="F42" s="43"/>
      <c r="G42" s="43"/>
      <c r="H42" s="43"/>
      <c r="I42" s="43"/>
      <c r="J42" s="43"/>
      <c r="K42" s="43"/>
      <c r="L42" s="43"/>
      <c r="M42" s="43"/>
      <c r="N42" s="43"/>
      <c r="O42" s="43"/>
      <c r="P42" s="43"/>
      <c r="Q42" s="43"/>
      <c r="R42" s="43"/>
      <c r="S42" s="43"/>
      <c r="T42" s="43"/>
      <c r="U42" s="43"/>
      <c r="V42" s="43"/>
      <c r="W42" s="43"/>
      <c r="X42" s="43"/>
      <c r="Y42" s="43"/>
    </row>
    <row r="43">
      <c r="A43" s="138"/>
      <c r="B43" s="49"/>
      <c r="C43" s="147" t="s">
        <v>220</v>
      </c>
      <c r="D43" s="145">
        <f>'Expenses 2023'!F40</f>
        <v>226308</v>
      </c>
      <c r="E43" s="164">
        <f t="shared" si="1"/>
        <v>0.05895007967</v>
      </c>
      <c r="F43" s="43"/>
      <c r="G43" s="43"/>
      <c r="H43" s="43"/>
      <c r="I43" s="43"/>
      <c r="J43" s="43"/>
      <c r="K43" s="43"/>
      <c r="L43" s="43"/>
      <c r="M43" s="43"/>
      <c r="N43" s="43"/>
      <c r="O43" s="43"/>
      <c r="P43" s="43"/>
      <c r="Q43" s="43"/>
      <c r="R43" s="43"/>
      <c r="S43" s="43"/>
      <c r="T43" s="43"/>
      <c r="U43" s="43"/>
      <c r="V43" s="43"/>
      <c r="W43" s="43"/>
      <c r="X43" s="43"/>
      <c r="Y43" s="43"/>
    </row>
    <row r="44">
      <c r="A44" s="138"/>
      <c r="B44" s="49"/>
      <c r="C44" s="144" t="s">
        <v>184</v>
      </c>
      <c r="D44" s="145">
        <f>sum(D41:D43)</f>
        <v>3838977</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221</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222</v>
      </c>
      <c r="C47" s="144" t="s">
        <v>223</v>
      </c>
      <c r="D47" s="145">
        <f>'Revenues 2023'!F9</f>
        <v>2671182</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224</v>
      </c>
      <c r="D48" s="145">
        <f>'Expenses 2023'!F40</f>
        <v>226308</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225</v>
      </c>
      <c r="D49" s="165">
        <f>if(D48=0, "$0",D47/D48)</f>
        <v>11.80330346</v>
      </c>
      <c r="E49" s="149" t="s">
        <v>226</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227</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228</v>
      </c>
      <c r="C52" s="144" t="s">
        <v>229</v>
      </c>
      <c r="D52" s="145">
        <f>sum('Balance Sheet 2023'!E2:E10)</f>
        <v>3988636</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230</v>
      </c>
      <c r="D53" s="145">
        <f>sum('Balance Sheet 2023'!E19:E22)</f>
        <v>827851</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231</v>
      </c>
      <c r="D54" s="167">
        <f>D52/D53</f>
        <v>4.818060255</v>
      </c>
      <c r="E54" s="149" t="s">
        <v>232</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233</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234</v>
      </c>
      <c r="C57" s="144" t="s">
        <v>235</v>
      </c>
      <c r="D57" s="145">
        <f>sum('Balance Sheet 2023'!E25:E26)</f>
        <v>190141</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236</v>
      </c>
      <c r="D58" s="145">
        <f>'Balance Sheet 2023'!E18</f>
        <v>10693788</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237</v>
      </c>
      <c r="D59" s="168">
        <f>D57/D58</f>
        <v>0.01778050958</v>
      </c>
      <c r="E59" s="149" t="s">
        <v>238</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FRANK LLOYD WRIGHT TRUST</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205096.0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162750.0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2105575.0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2473421</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2854777.0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2854777</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106059.0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7590.0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243</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1410549.0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710645.0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699904</v>
      </c>
      <c r="G38" s="43"/>
      <c r="H38" s="43"/>
      <c r="I38" s="43"/>
      <c r="J38" s="43"/>
      <c r="K38" s="43"/>
      <c r="L38" s="43"/>
      <c r="M38" s="43"/>
      <c r="N38" s="43"/>
      <c r="O38" s="43"/>
      <c r="P38" s="43"/>
      <c r="Q38" s="43"/>
      <c r="R38" s="43"/>
      <c r="S38" s="43"/>
      <c r="T38" s="43"/>
      <c r="U38" s="43"/>
      <c r="V38" s="43"/>
      <c r="W38" s="43"/>
      <c r="X38" s="43"/>
      <c r="Y38" s="43"/>
      <c r="Z38" s="43"/>
    </row>
    <row r="39">
      <c r="A39" s="49"/>
      <c r="B39" s="45" t="s">
        <v>96</v>
      </c>
      <c r="C39" s="83" t="s">
        <v>97</v>
      </c>
      <c r="D39" s="74"/>
      <c r="E39" s="48">
        <v>18128.0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18128</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6159879</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FRANK LLOYD WRIGHT TRUST</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426164</v>
      </c>
      <c r="D7" s="99">
        <v>249280.0</v>
      </c>
      <c r="E7" s="99">
        <v>148920.0</v>
      </c>
      <c r="F7" s="99">
        <v>27964.0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1330495</v>
      </c>
      <c r="D9" s="99">
        <v>778257.0</v>
      </c>
      <c r="E9" s="99">
        <v>464933.0</v>
      </c>
      <c r="F9" s="99">
        <v>87305.0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29705</v>
      </c>
      <c r="D10" s="99">
        <v>12701.0</v>
      </c>
      <c r="E10" s="99">
        <v>13554.0</v>
      </c>
      <c r="F10" s="99">
        <v>3450.0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146643</v>
      </c>
      <c r="D11" s="99">
        <v>102039.0</v>
      </c>
      <c r="E11" s="99">
        <v>29373.0</v>
      </c>
      <c r="F11" s="99">
        <v>15231.0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151141</v>
      </c>
      <c r="D12" s="99">
        <v>98466.0</v>
      </c>
      <c r="E12" s="99">
        <v>44064.0</v>
      </c>
      <c r="F12" s="99">
        <v>8611.0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216916</v>
      </c>
      <c r="D20" s="99">
        <v>23730.0</v>
      </c>
      <c r="E20" s="99">
        <v>188443.0</v>
      </c>
      <c r="F20" s="99">
        <v>4743.0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33681</v>
      </c>
      <c r="D21" s="99">
        <v>33381.0</v>
      </c>
      <c r="E21" s="99">
        <v>300.0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389741</v>
      </c>
      <c r="D22" s="99">
        <v>193134.0</v>
      </c>
      <c r="E22" s="99">
        <v>158118.0</v>
      </c>
      <c r="F22" s="99">
        <v>38489.0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6931</v>
      </c>
      <c r="D23" s="99">
        <v>0.0</v>
      </c>
      <c r="E23" s="99">
        <v>6931.0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386631</v>
      </c>
      <c r="D25" s="99">
        <v>40424.0</v>
      </c>
      <c r="E25" s="99">
        <v>346207.0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43115</v>
      </c>
      <c r="D26" s="99">
        <v>36415.0</v>
      </c>
      <c r="E26" s="99">
        <v>1240.0</v>
      </c>
      <c r="F26" s="99">
        <v>5460.0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12355</v>
      </c>
      <c r="D29" s="99">
        <v>0.0</v>
      </c>
      <c r="E29" s="99">
        <v>12355.0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378957</v>
      </c>
      <c r="D31" s="99">
        <v>331579.0</v>
      </c>
      <c r="E31" s="99">
        <v>47378.0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90459</v>
      </c>
      <c r="D32" s="99">
        <v>0.0</v>
      </c>
      <c r="E32" s="99">
        <v>90459.0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46" t="s">
        <v>135</v>
      </c>
      <c r="C34" s="98">
        <f t="shared" si="1"/>
        <v>395134</v>
      </c>
      <c r="D34" s="99">
        <v>395134.0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244</v>
      </c>
      <c r="C35" s="98">
        <f t="shared" si="1"/>
        <v>65231</v>
      </c>
      <c r="D35" s="99">
        <v>31366.0</v>
      </c>
      <c r="E35" s="99">
        <v>5678.0</v>
      </c>
      <c r="F35" s="99">
        <v>28187.0</v>
      </c>
      <c r="G35" s="43"/>
      <c r="H35" s="43"/>
      <c r="I35" s="43"/>
      <c r="J35" s="43"/>
      <c r="K35" s="43"/>
      <c r="L35" s="43"/>
      <c r="M35" s="43"/>
      <c r="N35" s="43"/>
      <c r="O35" s="43"/>
      <c r="P35" s="43"/>
      <c r="Q35" s="43"/>
      <c r="R35" s="43"/>
      <c r="S35" s="43"/>
      <c r="T35" s="43"/>
      <c r="U35" s="43"/>
      <c r="V35" s="43"/>
      <c r="W35" s="43"/>
      <c r="X35" s="43"/>
      <c r="Y35" s="43"/>
      <c r="Z35" s="43"/>
    </row>
    <row r="36">
      <c r="A36" s="45" t="s">
        <v>50</v>
      </c>
      <c r="B36" s="102" t="s">
        <v>137</v>
      </c>
      <c r="C36" s="98">
        <f t="shared" si="1"/>
        <v>51436</v>
      </c>
      <c r="D36" s="99">
        <v>19363.0</v>
      </c>
      <c r="E36" s="99">
        <v>32073.0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241</v>
      </c>
      <c r="C37" s="98">
        <f t="shared" si="1"/>
        <v>4784</v>
      </c>
      <c r="D37" s="99">
        <v>3630.0</v>
      </c>
      <c r="E37" s="99">
        <v>550.0</v>
      </c>
      <c r="F37" s="99">
        <v>604.0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3">
        <f t="shared" ref="C40:F40" si="2">sum(C3:C39)</f>
        <v>4159519</v>
      </c>
      <c r="D40" s="103">
        <f t="shared" si="2"/>
        <v>2348899</v>
      </c>
      <c r="E40" s="103">
        <f t="shared" si="2"/>
        <v>1590576</v>
      </c>
      <c r="F40" s="103">
        <f t="shared" si="2"/>
        <v>220044</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FRANK LLOYD WRIGHT TRUST</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141</v>
      </c>
      <c r="B2" s="45">
        <v>1.0</v>
      </c>
      <c r="C2" s="46" t="s">
        <v>142</v>
      </c>
      <c r="D2" s="110"/>
      <c r="E2" s="111">
        <v>1907638.0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2"/>
      <c r="E3" s="111">
        <v>1434377.0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0"/>
      <c r="E4" s="111">
        <v>30500.0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2"/>
      <c r="E5" s="111">
        <v>32507.0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2"/>
      <c r="E9" s="111">
        <v>289273.0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0"/>
      <c r="E10" s="111">
        <v>69567.0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1">
        <v>1.1930889E7</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1">
        <v>6817079.0</v>
      </c>
      <c r="E12" s="108">
        <f>D11-D12</f>
        <v>5113810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2"/>
      <c r="E17" s="111">
        <v>3597415.0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3"/>
      <c r="E18" s="114">
        <f>sum(E2:E17)</f>
        <v>12475087</v>
      </c>
      <c r="F18" s="43"/>
      <c r="G18" s="43"/>
      <c r="H18" s="43"/>
      <c r="I18" s="43"/>
      <c r="J18" s="43"/>
      <c r="K18" s="43"/>
      <c r="L18" s="43"/>
      <c r="M18" s="43"/>
      <c r="N18" s="43"/>
      <c r="O18" s="43"/>
      <c r="P18" s="43"/>
      <c r="Q18" s="43"/>
      <c r="R18" s="43"/>
      <c r="S18" s="43"/>
      <c r="T18" s="43"/>
      <c r="U18" s="43"/>
      <c r="V18" s="43"/>
      <c r="W18" s="43"/>
      <c r="X18" s="43"/>
      <c r="Y18" s="43"/>
      <c r="Z18" s="43"/>
    </row>
    <row r="19">
      <c r="A19" s="44" t="s">
        <v>161</v>
      </c>
      <c r="B19" s="115">
        <v>17.0</v>
      </c>
      <c r="C19" s="116" t="s">
        <v>162</v>
      </c>
      <c r="D19" s="117"/>
      <c r="E19" s="111">
        <v>266918.0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163</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164</v>
      </c>
      <c r="D21" s="117"/>
      <c r="E21" s="111">
        <v>471759.0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165</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166</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167</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168</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169</v>
      </c>
      <c r="D26" s="117"/>
      <c r="E26" s="118">
        <v>96313.0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170</v>
      </c>
      <c r="D27" s="117"/>
      <c r="E27" s="118">
        <v>624694.0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171</v>
      </c>
      <c r="D28" s="125"/>
      <c r="E28" s="126">
        <f>sum(E19:E27)</f>
        <v>1459684</v>
      </c>
      <c r="F28" s="43"/>
      <c r="G28" s="43"/>
      <c r="H28" s="43"/>
      <c r="I28" s="43"/>
      <c r="J28" s="43"/>
      <c r="K28" s="43"/>
      <c r="L28" s="43"/>
      <c r="M28" s="43"/>
      <c r="N28" s="43"/>
      <c r="O28" s="43"/>
      <c r="P28" s="43"/>
      <c r="Q28" s="43"/>
      <c r="R28" s="43"/>
      <c r="S28" s="43"/>
      <c r="T28" s="43"/>
      <c r="U28" s="43"/>
      <c r="V28" s="43"/>
      <c r="W28" s="43"/>
      <c r="X28" s="43"/>
      <c r="Y28" s="43"/>
      <c r="Z28" s="43"/>
    </row>
    <row r="29">
      <c r="A29" s="65" t="s">
        <v>172</v>
      </c>
      <c r="B29" s="127"/>
      <c r="C29" s="128" t="s">
        <v>173</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174</v>
      </c>
      <c r="D30" s="117"/>
      <c r="E30" s="111">
        <v>9741255.0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175</v>
      </c>
      <c r="D31" s="117"/>
      <c r="E31" s="111">
        <v>1274148.0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176</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177</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178</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179</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180</v>
      </c>
      <c r="D36" s="131"/>
      <c r="E36" s="126">
        <f>sum(E30:E35)</f>
        <v>11015403</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181</v>
      </c>
      <c r="D37" s="135"/>
      <c r="E37" s="136">
        <f>E36+E28</f>
        <v>12475087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FRANK LLOYD WRIGHT TRUST</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182</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183</v>
      </c>
      <c r="C3" s="144" t="s">
        <v>184</v>
      </c>
      <c r="D3" s="145">
        <f>'Expenses 2024'!C40</f>
        <v>4159519</v>
      </c>
      <c r="E3" s="146"/>
      <c r="F3" s="43"/>
      <c r="G3" s="43"/>
      <c r="H3" s="43"/>
      <c r="I3" s="43"/>
      <c r="J3" s="43"/>
      <c r="K3" s="43"/>
      <c r="L3" s="43"/>
      <c r="M3" s="43"/>
      <c r="N3" s="43"/>
      <c r="O3" s="43"/>
      <c r="P3" s="43"/>
      <c r="Q3" s="43"/>
      <c r="R3" s="43"/>
      <c r="S3" s="43"/>
      <c r="T3" s="43"/>
      <c r="U3" s="43"/>
      <c r="V3" s="43"/>
      <c r="W3" s="43"/>
      <c r="X3" s="43"/>
      <c r="Y3" s="43"/>
    </row>
    <row r="4">
      <c r="A4" s="138"/>
      <c r="B4" s="49"/>
      <c r="C4" s="144" t="s">
        <v>185</v>
      </c>
      <c r="D4" s="145">
        <f>'Expenses 2024'!C31</f>
        <v>378957</v>
      </c>
      <c r="E4" s="146"/>
      <c r="F4" s="43"/>
      <c r="G4" s="43"/>
      <c r="H4" s="43"/>
      <c r="I4" s="43"/>
      <c r="J4" s="43"/>
      <c r="K4" s="43"/>
      <c r="L4" s="43"/>
      <c r="M4" s="43"/>
      <c r="N4" s="43"/>
      <c r="O4" s="43"/>
      <c r="P4" s="43"/>
      <c r="Q4" s="43"/>
      <c r="R4" s="43"/>
      <c r="S4" s="43"/>
      <c r="T4" s="43"/>
      <c r="U4" s="43"/>
      <c r="V4" s="43"/>
      <c r="W4" s="43"/>
      <c r="X4" s="43"/>
      <c r="Y4" s="43"/>
    </row>
    <row r="5">
      <c r="A5" s="138"/>
      <c r="B5" s="49"/>
      <c r="C5" s="144" t="s">
        <v>186</v>
      </c>
      <c r="D5" s="145">
        <f>D3-D4</f>
        <v>3780562</v>
      </c>
      <c r="E5" s="146"/>
      <c r="F5" s="43"/>
      <c r="G5" s="43"/>
      <c r="H5" s="43"/>
      <c r="I5" s="43"/>
      <c r="J5" s="43"/>
      <c r="K5" s="43"/>
      <c r="L5" s="43"/>
      <c r="M5" s="43"/>
      <c r="N5" s="43"/>
      <c r="O5" s="43"/>
      <c r="P5" s="43"/>
      <c r="Q5" s="43"/>
      <c r="R5" s="43"/>
      <c r="S5" s="43"/>
      <c r="T5" s="43"/>
      <c r="U5" s="43"/>
      <c r="V5" s="43"/>
      <c r="W5" s="43"/>
      <c r="X5" s="43"/>
      <c r="Y5" s="43"/>
    </row>
    <row r="6">
      <c r="A6" s="138"/>
      <c r="B6" s="49"/>
      <c r="C6" s="144" t="s">
        <v>187</v>
      </c>
      <c r="D6" s="145">
        <f>D5/12</f>
        <v>315046.8333</v>
      </c>
      <c r="E6" s="146"/>
      <c r="F6" s="43"/>
      <c r="G6" s="43"/>
      <c r="H6" s="43"/>
      <c r="I6" s="43"/>
      <c r="J6" s="43"/>
      <c r="K6" s="43"/>
      <c r="L6" s="43"/>
      <c r="M6" s="43"/>
      <c r="N6" s="43"/>
      <c r="O6" s="43"/>
      <c r="P6" s="43"/>
      <c r="Q6" s="43"/>
      <c r="R6" s="43"/>
      <c r="S6" s="43"/>
      <c r="T6" s="43"/>
      <c r="U6" s="43"/>
      <c r="V6" s="43"/>
      <c r="W6" s="43"/>
      <c r="X6" s="43"/>
      <c r="Y6" s="43"/>
    </row>
    <row r="7">
      <c r="A7" s="138"/>
      <c r="B7" s="49"/>
      <c r="C7" s="144" t="s">
        <v>188</v>
      </c>
      <c r="D7" s="75">
        <f>'Balance Sheet 2024'!E2+'Balance Sheet 2024'!E3</f>
        <v>3342015</v>
      </c>
      <c r="E7" s="146"/>
      <c r="F7" s="43"/>
      <c r="G7" s="43"/>
      <c r="H7" s="43"/>
      <c r="I7" s="43"/>
      <c r="J7" s="43"/>
      <c r="K7" s="43"/>
      <c r="L7" s="43"/>
      <c r="M7" s="43"/>
      <c r="N7" s="43"/>
      <c r="O7" s="43"/>
      <c r="P7" s="43"/>
      <c r="Q7" s="43"/>
      <c r="R7" s="43"/>
      <c r="S7" s="43"/>
      <c r="T7" s="43"/>
      <c r="U7" s="43"/>
      <c r="V7" s="43"/>
      <c r="W7" s="43"/>
      <c r="X7" s="43"/>
      <c r="Y7" s="43"/>
    </row>
    <row r="8">
      <c r="A8" s="138"/>
      <c r="B8" s="49"/>
      <c r="C8" s="147" t="s">
        <v>182</v>
      </c>
      <c r="D8" s="148">
        <f>D7/D6</f>
        <v>10.60799426</v>
      </c>
      <c r="E8" s="149" t="s">
        <v>189</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190</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191</v>
      </c>
      <c r="C11" s="144" t="s">
        <v>192</v>
      </c>
      <c r="D11" s="75">
        <f>'Balance Sheet 2024'!E30</f>
        <v>9741255</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193</v>
      </c>
      <c r="D12" s="75">
        <f>'Expenses 2024'!C40</f>
        <v>4159519</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194</v>
      </c>
      <c r="D13" s="145">
        <f>D12/12</f>
        <v>346626.5833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190</v>
      </c>
      <c r="D14" s="148">
        <f>D11/D13</f>
        <v>28.10302345</v>
      </c>
      <c r="E14" s="149" t="s">
        <v>189</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195</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196</v>
      </c>
      <c r="C17" s="144" t="s">
        <v>197</v>
      </c>
      <c r="D17" s="75">
        <f>sum('Balance Sheet 2024'!E13:E15)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193</v>
      </c>
      <c r="D18" s="75">
        <f>'Expenses 2024'!C40</f>
        <v>4159519</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194</v>
      </c>
      <c r="D19" s="145">
        <f>D18/12</f>
        <v>346626.5833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198</v>
      </c>
      <c r="D20" s="148">
        <f>D17/D19</f>
        <v>0</v>
      </c>
      <c r="E20" s="149" t="s">
        <v>189</v>
      </c>
      <c r="F20" s="43"/>
      <c r="G20" s="43"/>
      <c r="H20" s="43"/>
      <c r="I20" s="43"/>
      <c r="J20" s="43"/>
      <c r="K20" s="43"/>
      <c r="L20" s="43"/>
      <c r="M20" s="43"/>
      <c r="N20" s="43"/>
      <c r="O20" s="43"/>
      <c r="P20" s="43"/>
      <c r="Q20" s="43"/>
      <c r="R20" s="43"/>
      <c r="S20" s="43"/>
      <c r="T20" s="43"/>
      <c r="U20" s="43"/>
      <c r="V20" s="43"/>
      <c r="W20" s="43"/>
      <c r="X20" s="43"/>
      <c r="Y20" s="43"/>
    </row>
    <row r="21">
      <c r="A21" s="138"/>
      <c r="B21" s="49"/>
      <c r="C21" s="153" t="s">
        <v>199</v>
      </c>
      <c r="D21" s="154">
        <f>D20+D8</f>
        <v>10.60799426</v>
      </c>
      <c r="E21" s="155" t="s">
        <v>189</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200</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201</v>
      </c>
      <c r="C24" s="159"/>
      <c r="D24" s="160">
        <f>max('Revenues 2024'!E2:E7,'Revenues 2024'!F10:F15)</f>
        <v>2854777</v>
      </c>
      <c r="E24" s="161" t="s">
        <v>202</v>
      </c>
      <c r="F24" s="43"/>
      <c r="G24" s="43"/>
      <c r="H24" s="43"/>
      <c r="I24" s="43"/>
      <c r="J24" s="43"/>
      <c r="K24" s="43"/>
      <c r="L24" s="43"/>
      <c r="M24" s="43"/>
      <c r="N24" s="43"/>
      <c r="O24" s="43"/>
      <c r="P24" s="43"/>
      <c r="Q24" s="43"/>
      <c r="R24" s="43"/>
      <c r="S24" s="43"/>
      <c r="T24" s="43"/>
      <c r="U24" s="43"/>
      <c r="V24" s="43"/>
      <c r="W24" s="43"/>
      <c r="X24" s="43"/>
      <c r="Y24" s="43"/>
    </row>
    <row r="25">
      <c r="A25" s="138"/>
      <c r="B25" s="49"/>
      <c r="C25" s="144" t="s">
        <v>203</v>
      </c>
      <c r="D25" s="145">
        <f>'Revenues 2024'!F44</f>
        <v>6159879</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200</v>
      </c>
      <c r="D26" s="162">
        <f>D24/D25</f>
        <v>0.4634469281</v>
      </c>
      <c r="E26" s="149" t="s">
        <v>204</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205</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206</v>
      </c>
      <c r="C29" s="144" t="s">
        <v>207</v>
      </c>
      <c r="D29" s="75">
        <f>SUM('Expenses 2024'!C7:C9)</f>
        <v>1756659</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208</v>
      </c>
      <c r="D30" s="75">
        <f>SUM('Expenses 2024'!C10:C12)</f>
        <v>327489</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209</v>
      </c>
      <c r="D31" s="75">
        <f>sum(D29:D30)</f>
        <v>2084148</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184</v>
      </c>
      <c r="D32" s="75">
        <f>'Expenses 2024'!C40</f>
        <v>4159519</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210</v>
      </c>
      <c r="D33" s="162">
        <f>D31/D32</f>
        <v>0.5010550499</v>
      </c>
      <c r="E33" s="149" t="s">
        <v>211</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212</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213</v>
      </c>
      <c r="C36" s="144" t="s">
        <v>214</v>
      </c>
      <c r="D36" s="75">
        <f>SUM('Expenses 2024'!C10:C11)</f>
        <v>176348</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207</v>
      </c>
      <c r="D37" s="75">
        <f>SUM('Expenses 2024'!C7:C9)</f>
        <v>1756659</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212</v>
      </c>
      <c r="D38" s="162">
        <f>D36/D37</f>
        <v>0.1003882939</v>
      </c>
      <c r="E38" s="149" t="s">
        <v>215</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216</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217</v>
      </c>
      <c r="C41" s="147" t="s">
        <v>245</v>
      </c>
      <c r="D41" s="75">
        <f>'Expenses 2024'!D40</f>
        <v>2348899</v>
      </c>
      <c r="E41" s="164">
        <f t="shared" ref="E41:E44" si="1">D41/$D$44</f>
        <v>0.5647044766</v>
      </c>
      <c r="F41" s="43"/>
      <c r="G41" s="43"/>
      <c r="H41" s="43"/>
      <c r="I41" s="43"/>
      <c r="J41" s="43"/>
      <c r="K41" s="43"/>
      <c r="L41" s="43"/>
      <c r="M41" s="43"/>
      <c r="N41" s="43"/>
      <c r="O41" s="43"/>
      <c r="P41" s="43"/>
      <c r="Q41" s="43"/>
      <c r="R41" s="43"/>
      <c r="S41" s="43"/>
      <c r="T41" s="43"/>
      <c r="U41" s="43"/>
      <c r="V41" s="43"/>
      <c r="W41" s="43"/>
      <c r="X41" s="43"/>
      <c r="Y41" s="43"/>
    </row>
    <row r="42">
      <c r="A42" s="138"/>
      <c r="B42" s="49"/>
      <c r="C42" s="147" t="s">
        <v>219</v>
      </c>
      <c r="D42" s="145">
        <f>'Expenses 2024'!E40</f>
        <v>1590576</v>
      </c>
      <c r="E42" s="164">
        <f t="shared" si="1"/>
        <v>0.3823942143</v>
      </c>
      <c r="F42" s="43"/>
      <c r="G42" s="43"/>
      <c r="H42" s="43"/>
      <c r="I42" s="43"/>
      <c r="J42" s="43"/>
      <c r="K42" s="43"/>
      <c r="L42" s="43"/>
      <c r="M42" s="43"/>
      <c r="N42" s="43"/>
      <c r="O42" s="43"/>
      <c r="P42" s="43"/>
      <c r="Q42" s="43"/>
      <c r="R42" s="43"/>
      <c r="S42" s="43"/>
      <c r="T42" s="43"/>
      <c r="U42" s="43"/>
      <c r="V42" s="43"/>
      <c r="W42" s="43"/>
      <c r="X42" s="43"/>
      <c r="Y42" s="43"/>
    </row>
    <row r="43">
      <c r="A43" s="138"/>
      <c r="B43" s="49"/>
      <c r="C43" s="147" t="s">
        <v>220</v>
      </c>
      <c r="D43" s="145">
        <f>'Expenses 2024'!F40</f>
        <v>220044</v>
      </c>
      <c r="E43" s="164">
        <f t="shared" si="1"/>
        <v>0.05290130902</v>
      </c>
      <c r="F43" s="43"/>
      <c r="G43" s="43"/>
      <c r="H43" s="43"/>
      <c r="I43" s="43"/>
      <c r="J43" s="43"/>
      <c r="K43" s="43"/>
      <c r="L43" s="43"/>
      <c r="M43" s="43"/>
      <c r="N43" s="43"/>
      <c r="O43" s="43"/>
      <c r="P43" s="43"/>
      <c r="Q43" s="43"/>
      <c r="R43" s="43"/>
      <c r="S43" s="43"/>
      <c r="T43" s="43"/>
      <c r="U43" s="43"/>
      <c r="V43" s="43"/>
      <c r="W43" s="43"/>
      <c r="X43" s="43"/>
      <c r="Y43" s="43"/>
    </row>
    <row r="44">
      <c r="A44" s="138"/>
      <c r="B44" s="49"/>
      <c r="C44" s="144" t="s">
        <v>184</v>
      </c>
      <c r="D44" s="145">
        <f>sum(D41:D43)</f>
        <v>4159519</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221</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222</v>
      </c>
      <c r="C47" s="144" t="s">
        <v>223</v>
      </c>
      <c r="D47" s="145">
        <f>'Revenues 2024'!F9</f>
        <v>2473421</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224</v>
      </c>
      <c r="D48" s="145">
        <f>'Expenses 2024'!F40</f>
        <v>220044</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225</v>
      </c>
      <c r="D49" s="165">
        <f>if(D48=0, "$0",D47/D48)</f>
        <v>11.24057461</v>
      </c>
      <c r="E49" s="149" t="s">
        <v>226</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227</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228</v>
      </c>
      <c r="C52" s="144" t="s">
        <v>229</v>
      </c>
      <c r="D52" s="145">
        <f>sum('Balance Sheet 2024'!E2:E10)</f>
        <v>3763862</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230</v>
      </c>
      <c r="D53" s="145">
        <f>sum('Balance Sheet 2024'!E19:E22)</f>
        <v>738677</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231</v>
      </c>
      <c r="D54" s="167">
        <f>D52/D53</f>
        <v>5.095409766</v>
      </c>
      <c r="E54" s="149" t="s">
        <v>232</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233</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234</v>
      </c>
      <c r="C57" s="144" t="s">
        <v>235</v>
      </c>
      <c r="D57" s="145">
        <f>sum('Balance Sheet 2024'!E25:E26)</f>
        <v>96313</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236</v>
      </c>
      <c r="D58" s="145">
        <f>'Balance Sheet 2024'!E18</f>
        <v>12475087</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237</v>
      </c>
      <c r="D59" s="168">
        <f>D57/D58</f>
        <v>0.00772042712</v>
      </c>
      <c r="E59" s="149" t="s">
        <v>238</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FRANK LLOYD WRIGHT TRUST</v>
      </c>
      <c r="B1" s="2" t="s">
        <v>246</v>
      </c>
      <c r="C1" s="138"/>
      <c r="D1" s="138"/>
      <c r="E1" s="138"/>
      <c r="F1" s="139"/>
      <c r="G1" s="139"/>
      <c r="H1" s="139"/>
      <c r="I1" s="43"/>
      <c r="J1" s="43"/>
      <c r="K1" s="43"/>
      <c r="L1" s="43"/>
      <c r="M1" s="43"/>
      <c r="N1" s="43"/>
      <c r="O1" s="43"/>
      <c r="P1" s="43"/>
      <c r="Q1" s="43"/>
      <c r="R1" s="43"/>
      <c r="S1" s="43"/>
      <c r="T1" s="43"/>
      <c r="U1" s="43"/>
      <c r="V1" s="43"/>
      <c r="W1" s="43"/>
      <c r="X1" s="43"/>
      <c r="Y1" s="43"/>
    </row>
    <row r="2">
      <c r="A2" s="140" t="s">
        <v>182</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183</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247</v>
      </c>
      <c r="E4" s="45" t="s">
        <v>248</v>
      </c>
      <c r="F4" s="45" t="s">
        <v>249</v>
      </c>
      <c r="G4" s="59" t="s">
        <v>250</v>
      </c>
      <c r="H4" s="59"/>
      <c r="I4" s="43"/>
      <c r="J4" s="43"/>
      <c r="K4" s="43"/>
      <c r="L4" s="43"/>
      <c r="M4" s="43"/>
      <c r="N4" s="43"/>
      <c r="O4" s="43"/>
      <c r="P4" s="43"/>
      <c r="Q4" s="43"/>
      <c r="R4" s="43"/>
      <c r="S4" s="43"/>
      <c r="T4" s="43"/>
      <c r="U4" s="43"/>
      <c r="V4" s="43"/>
      <c r="W4" s="43"/>
      <c r="X4" s="43"/>
      <c r="Y4" s="43"/>
    </row>
    <row r="5">
      <c r="A5" s="138"/>
      <c r="B5" s="49"/>
      <c r="C5" s="147" t="s">
        <v>182</v>
      </c>
      <c r="D5" s="176">
        <f>'Ratios 2022'!D8</f>
        <v>7.266807855</v>
      </c>
      <c r="E5" s="176">
        <f>'Ratios 2023'!D8</f>
        <v>11.36096913</v>
      </c>
      <c r="F5" s="176">
        <f>'Ratios 2024'!D8</f>
        <v>10.60799426</v>
      </c>
      <c r="G5" s="176">
        <f>average(D5:F5)</f>
        <v>9.745257081</v>
      </c>
      <c r="H5" s="149" t="s">
        <v>189</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190</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191</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247</v>
      </c>
      <c r="E9" s="45" t="s">
        <v>248</v>
      </c>
      <c r="F9" s="45" t="s">
        <v>249</v>
      </c>
      <c r="G9" s="59" t="s">
        <v>250</v>
      </c>
      <c r="H9" s="59"/>
      <c r="I9" s="43"/>
      <c r="J9" s="43"/>
      <c r="K9" s="43"/>
      <c r="L9" s="43"/>
      <c r="M9" s="43"/>
      <c r="N9" s="43"/>
      <c r="O9" s="43"/>
      <c r="P9" s="43"/>
      <c r="Q9" s="43"/>
      <c r="R9" s="43"/>
      <c r="S9" s="43"/>
      <c r="T9" s="43"/>
      <c r="U9" s="43"/>
      <c r="V9" s="43"/>
      <c r="W9" s="43"/>
      <c r="X9" s="43"/>
      <c r="Y9" s="43"/>
    </row>
    <row r="10">
      <c r="A10" s="138"/>
      <c r="B10" s="49"/>
      <c r="C10" s="147" t="s">
        <v>190</v>
      </c>
      <c r="D10" s="148">
        <f>'Ratios 2022'!D14</f>
        <v>20.61276407</v>
      </c>
      <c r="E10" s="148">
        <f>'Ratios 2023'!D14</f>
        <v>24.68113146</v>
      </c>
      <c r="F10" s="148">
        <f>'Ratios 2024'!D14</f>
        <v>28.10302345</v>
      </c>
      <c r="G10" s="176">
        <f>average(D10:F10)</f>
        <v>24.46563966</v>
      </c>
      <c r="H10" s="149" t="s">
        <v>189</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195</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196</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247</v>
      </c>
      <c r="E14" s="45" t="s">
        <v>248</v>
      </c>
      <c r="F14" s="45" t="s">
        <v>249</v>
      </c>
      <c r="G14" s="59" t="s">
        <v>250</v>
      </c>
      <c r="H14" s="59"/>
      <c r="I14" s="43"/>
      <c r="J14" s="43"/>
      <c r="K14" s="43"/>
      <c r="L14" s="43"/>
      <c r="M14" s="43"/>
      <c r="N14" s="43"/>
      <c r="O14" s="43"/>
      <c r="P14" s="43"/>
      <c r="Q14" s="43"/>
      <c r="R14" s="43"/>
      <c r="S14" s="43"/>
      <c r="T14" s="43"/>
      <c r="U14" s="43"/>
      <c r="V14" s="43"/>
      <c r="W14" s="43"/>
      <c r="X14" s="43"/>
      <c r="Y14" s="43"/>
    </row>
    <row r="15">
      <c r="A15" s="138"/>
      <c r="B15" s="49"/>
      <c r="C15" s="147" t="s">
        <v>198</v>
      </c>
      <c r="D15" s="179">
        <f>'Ratios 2022'!D20</f>
        <v>0</v>
      </c>
      <c r="E15" s="179">
        <f>'Ratios 2023'!D20</f>
        <v>0</v>
      </c>
      <c r="F15" s="179">
        <f>'Ratios 2024'!D20</f>
        <v>0</v>
      </c>
      <c r="G15" s="176">
        <f>average(D15:F15)</f>
        <v>0</v>
      </c>
      <c r="H15" s="149" t="s">
        <v>189</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200</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201</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247</v>
      </c>
      <c r="E19" s="45" t="s">
        <v>248</v>
      </c>
      <c r="F19" s="45" t="s">
        <v>249</v>
      </c>
      <c r="G19" s="59" t="s">
        <v>250</v>
      </c>
      <c r="H19" s="59"/>
      <c r="I19" s="43"/>
      <c r="J19" s="43"/>
      <c r="K19" s="43"/>
      <c r="L19" s="43"/>
      <c r="M19" s="43"/>
      <c r="N19" s="43"/>
      <c r="O19" s="43"/>
      <c r="P19" s="43"/>
      <c r="Q19" s="43"/>
      <c r="R19" s="43"/>
      <c r="S19" s="43"/>
      <c r="T19" s="43"/>
      <c r="U19" s="43"/>
      <c r="V19" s="43"/>
      <c r="W19" s="43"/>
      <c r="X19" s="43"/>
      <c r="Y19" s="43"/>
    </row>
    <row r="20">
      <c r="A20" s="138"/>
      <c r="B20" s="49"/>
      <c r="C20" s="147" t="s">
        <v>200</v>
      </c>
      <c r="D20" s="162">
        <f>'Ratios 2022'!D26</f>
        <v>0.4361750072</v>
      </c>
      <c r="E20" s="162">
        <f>'Ratios 2023'!D26</f>
        <v>0.4528861171</v>
      </c>
      <c r="F20" s="162">
        <f>'Ratios 2024'!D26</f>
        <v>0.4634469281</v>
      </c>
      <c r="G20" s="180">
        <f>average(D20:F20)</f>
        <v>0.4508360175</v>
      </c>
      <c r="H20" s="149" t="s">
        <v>204</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205</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206</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247</v>
      </c>
      <c r="E24" s="45" t="s">
        <v>248</v>
      </c>
      <c r="F24" s="45" t="s">
        <v>249</v>
      </c>
      <c r="G24" s="59" t="s">
        <v>250</v>
      </c>
      <c r="H24" s="59"/>
      <c r="I24" s="43"/>
      <c r="J24" s="43"/>
      <c r="K24" s="43"/>
      <c r="L24" s="43"/>
      <c r="M24" s="43"/>
      <c r="N24" s="43"/>
      <c r="O24" s="43"/>
      <c r="P24" s="43"/>
      <c r="Q24" s="43"/>
      <c r="R24" s="43"/>
      <c r="S24" s="43"/>
      <c r="T24" s="43"/>
      <c r="U24" s="43"/>
      <c r="V24" s="43"/>
      <c r="W24" s="43"/>
      <c r="X24" s="43"/>
      <c r="Y24" s="43"/>
    </row>
    <row r="25">
      <c r="A25" s="138"/>
      <c r="B25" s="49"/>
      <c r="C25" s="147" t="s">
        <v>210</v>
      </c>
      <c r="D25" s="162">
        <f>'Ratios 2022'!D33</f>
        <v>0.5074674129</v>
      </c>
      <c r="E25" s="162">
        <f>'Ratios 2023'!D33</f>
        <v>0.5191328315</v>
      </c>
      <c r="F25" s="162">
        <f>'Ratios 2024'!D33</f>
        <v>0.5010550499</v>
      </c>
      <c r="G25" s="180">
        <f>average(D25:F25)</f>
        <v>0.5092184314</v>
      </c>
      <c r="H25" s="149" t="s">
        <v>211</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212</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213</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247</v>
      </c>
      <c r="E29" s="45" t="s">
        <v>248</v>
      </c>
      <c r="F29" s="45" t="s">
        <v>249</v>
      </c>
      <c r="G29" s="59" t="s">
        <v>250</v>
      </c>
      <c r="H29" s="59"/>
      <c r="I29" s="43"/>
      <c r="J29" s="43"/>
      <c r="K29" s="43"/>
      <c r="L29" s="43"/>
      <c r="M29" s="43"/>
      <c r="N29" s="43"/>
      <c r="O29" s="43"/>
      <c r="P29" s="43"/>
      <c r="Q29" s="43"/>
      <c r="R29" s="43"/>
      <c r="S29" s="43"/>
      <c r="T29" s="43"/>
      <c r="U29" s="43"/>
      <c r="V29" s="43"/>
      <c r="W29" s="43"/>
      <c r="X29" s="43"/>
      <c r="Y29" s="43"/>
    </row>
    <row r="30">
      <c r="A30" s="138"/>
      <c r="B30" s="49"/>
      <c r="C30" s="147" t="s">
        <v>212</v>
      </c>
      <c r="D30" s="162">
        <f>'Ratios 2022'!D38</f>
        <v>0.1139366524</v>
      </c>
      <c r="E30" s="162">
        <f>'Ratios 2023'!D38</f>
        <v>0.1412932005</v>
      </c>
      <c r="F30" s="162">
        <f>'Ratios 2024'!D38</f>
        <v>0.1003882939</v>
      </c>
      <c r="G30" s="180">
        <f>average(D30:F30)</f>
        <v>0.1185393823</v>
      </c>
      <c r="H30" s="149" t="s">
        <v>215</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216</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217</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247</v>
      </c>
      <c r="E34" s="45" t="s">
        <v>248</v>
      </c>
      <c r="F34" s="45" t="s">
        <v>249</v>
      </c>
      <c r="G34" s="59" t="s">
        <v>250</v>
      </c>
      <c r="H34" s="59"/>
      <c r="I34" s="43"/>
      <c r="J34" s="43"/>
      <c r="K34" s="43"/>
      <c r="L34" s="43"/>
      <c r="M34" s="43"/>
      <c r="N34" s="43"/>
      <c r="O34" s="43"/>
      <c r="P34" s="43"/>
      <c r="Q34" s="43"/>
      <c r="R34" s="43"/>
      <c r="S34" s="43"/>
      <c r="T34" s="43"/>
      <c r="U34" s="43"/>
      <c r="V34" s="43"/>
      <c r="W34" s="43"/>
      <c r="X34" s="43"/>
      <c r="Y34" s="43"/>
    </row>
    <row r="35">
      <c r="A35" s="138"/>
      <c r="B35" s="49"/>
      <c r="C35" s="147" t="s">
        <v>251</v>
      </c>
      <c r="D35" s="162">
        <f>'Ratios 2022'!E41</f>
        <v>0.4968878193</v>
      </c>
      <c r="E35" s="162">
        <f>'Ratios 2023'!E41</f>
        <v>0.517085932</v>
      </c>
      <c r="F35" s="162">
        <f>'Ratios 2024'!E41</f>
        <v>0.5647044766</v>
      </c>
      <c r="G35" s="180">
        <f t="shared" ref="G35:G37" si="1">average(D35:F35)</f>
        <v>0.526226076</v>
      </c>
      <c r="H35" s="180"/>
      <c r="I35" s="43"/>
      <c r="J35" s="43"/>
      <c r="K35" s="43"/>
      <c r="L35" s="43"/>
      <c r="M35" s="43"/>
      <c r="N35" s="43"/>
      <c r="O35" s="43"/>
      <c r="P35" s="43"/>
      <c r="Q35" s="43"/>
      <c r="R35" s="43"/>
      <c r="S35" s="43"/>
      <c r="T35" s="43"/>
      <c r="U35" s="43"/>
      <c r="V35" s="43"/>
      <c r="W35" s="43"/>
      <c r="X35" s="43"/>
      <c r="Y35" s="43"/>
    </row>
    <row r="36">
      <c r="A36" s="138"/>
      <c r="B36" s="52"/>
      <c r="C36" s="147" t="s">
        <v>219</v>
      </c>
      <c r="D36" s="162">
        <f>'Ratios 2022'!E42</f>
        <v>0.449121182</v>
      </c>
      <c r="E36" s="162">
        <f>'Ratios 2023'!E42</f>
        <v>0.4239639883</v>
      </c>
      <c r="F36" s="162">
        <f>'Ratios 2024'!E42</f>
        <v>0.3823942143</v>
      </c>
      <c r="G36" s="180">
        <f t="shared" si="1"/>
        <v>0.4184931282</v>
      </c>
      <c r="H36" s="180"/>
      <c r="I36" s="43"/>
      <c r="J36" s="43"/>
      <c r="K36" s="43"/>
      <c r="L36" s="43"/>
      <c r="M36" s="43"/>
      <c r="N36" s="43"/>
      <c r="O36" s="43"/>
      <c r="P36" s="43"/>
      <c r="Q36" s="43"/>
      <c r="R36" s="43"/>
      <c r="S36" s="43"/>
      <c r="T36" s="43"/>
      <c r="U36" s="43"/>
      <c r="V36" s="43"/>
      <c r="W36" s="43"/>
      <c r="X36" s="43"/>
      <c r="Y36" s="43"/>
    </row>
    <row r="37">
      <c r="A37" s="138"/>
      <c r="B37" s="181"/>
      <c r="C37" s="147" t="s">
        <v>220</v>
      </c>
      <c r="D37" s="162">
        <f>'Ratios 2022'!E43</f>
        <v>0.05399099873</v>
      </c>
      <c r="E37" s="162">
        <f>'Ratios 2023'!E43</f>
        <v>0.05895007967</v>
      </c>
      <c r="F37" s="162">
        <f>'Ratios 2024'!E43</f>
        <v>0.05290130902</v>
      </c>
      <c r="G37" s="180">
        <f t="shared" si="1"/>
        <v>0.05528079581</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221</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222</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247</v>
      </c>
      <c r="E41" s="45" t="s">
        <v>248</v>
      </c>
      <c r="F41" s="45" t="s">
        <v>249</v>
      </c>
      <c r="G41" s="59" t="s">
        <v>250</v>
      </c>
      <c r="H41" s="59"/>
      <c r="I41" s="43"/>
      <c r="J41" s="43"/>
      <c r="K41" s="43"/>
      <c r="L41" s="43"/>
      <c r="M41" s="43"/>
      <c r="N41" s="43"/>
      <c r="O41" s="43"/>
      <c r="P41" s="43"/>
      <c r="Q41" s="43"/>
      <c r="R41" s="43"/>
      <c r="S41" s="43"/>
      <c r="T41" s="43"/>
      <c r="U41" s="43"/>
      <c r="V41" s="43"/>
      <c r="W41" s="43"/>
      <c r="X41" s="43"/>
      <c r="Y41" s="43"/>
    </row>
    <row r="42">
      <c r="A42" s="138"/>
      <c r="B42" s="49"/>
      <c r="C42" s="147" t="s">
        <v>225</v>
      </c>
      <c r="D42" s="165">
        <f>'Ratios 2022'!D49</f>
        <v>12.3249119</v>
      </c>
      <c r="E42" s="165">
        <f>'Ratios 2023'!D49</f>
        <v>11.80330346</v>
      </c>
      <c r="F42" s="165">
        <f>'Ratios 2024'!D49</f>
        <v>11.24057461</v>
      </c>
      <c r="G42" s="182">
        <f>average(D42:F42)</f>
        <v>11.78959666</v>
      </c>
      <c r="H42" s="149" t="s">
        <v>226</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227</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228</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247</v>
      </c>
      <c r="E46" s="45" t="s">
        <v>248</v>
      </c>
      <c r="F46" s="45" t="s">
        <v>249</v>
      </c>
      <c r="G46" s="59" t="s">
        <v>250</v>
      </c>
      <c r="H46" s="59"/>
      <c r="I46" s="43"/>
      <c r="J46" s="43"/>
      <c r="K46" s="43"/>
      <c r="L46" s="43"/>
      <c r="M46" s="43"/>
      <c r="N46" s="43"/>
      <c r="O46" s="43"/>
      <c r="P46" s="43"/>
      <c r="Q46" s="43"/>
      <c r="R46" s="43"/>
      <c r="S46" s="43"/>
      <c r="T46" s="43"/>
      <c r="U46" s="43"/>
      <c r="V46" s="43"/>
      <c r="W46" s="43"/>
      <c r="X46" s="43"/>
      <c r="Y46" s="43"/>
    </row>
    <row r="47">
      <c r="A47" s="138"/>
      <c r="B47" s="49"/>
      <c r="C47" s="147" t="s">
        <v>231</v>
      </c>
      <c r="D47" s="148">
        <f>'Ratios 2022'!D54</f>
        <v>4.154256549</v>
      </c>
      <c r="E47" s="148">
        <f>'Ratios 2023'!D54</f>
        <v>4.818060255</v>
      </c>
      <c r="F47" s="148">
        <f>'Ratios 2024'!D54</f>
        <v>5.095409766</v>
      </c>
      <c r="G47" s="176">
        <f>average(D47:F47)</f>
        <v>4.68924219</v>
      </c>
      <c r="H47" s="149" t="s">
        <v>232</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233</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234</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247</v>
      </c>
      <c r="E51" s="45" t="s">
        <v>248</v>
      </c>
      <c r="F51" s="45" t="s">
        <v>249</v>
      </c>
      <c r="G51" s="59" t="s">
        <v>250</v>
      </c>
      <c r="H51" s="59"/>
      <c r="I51" s="43"/>
      <c r="J51" s="43"/>
      <c r="K51" s="43"/>
      <c r="L51" s="43"/>
      <c r="M51" s="43"/>
      <c r="N51" s="43"/>
      <c r="O51" s="43"/>
      <c r="P51" s="43"/>
      <c r="Q51" s="43"/>
      <c r="R51" s="43"/>
      <c r="S51" s="43"/>
      <c r="T51" s="43"/>
      <c r="U51" s="43"/>
      <c r="V51" s="43"/>
      <c r="W51" s="43"/>
      <c r="X51" s="43"/>
      <c r="Y51" s="43"/>
    </row>
    <row r="52">
      <c r="A52" s="138"/>
      <c r="B52" s="49"/>
      <c r="C52" s="147" t="s">
        <v>237</v>
      </c>
      <c r="D52" s="183">
        <f>'Ratios 2022'!D59</f>
        <v>0.03245865818</v>
      </c>
      <c r="E52" s="183">
        <f>'Ratios 2023'!D59</f>
        <v>0.01778050958</v>
      </c>
      <c r="F52" s="183">
        <f>'Ratios 2024'!D59</f>
        <v>0.00772042712</v>
      </c>
      <c r="G52" s="184">
        <f>average(D52:F52)</f>
        <v>0.01931986496</v>
      </c>
      <c r="H52" s="149" t="s">
        <v>238</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FRANK LLOYD WRIGHT TRUST</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FRANK LLOYD WRIGHT TRUST</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198940.0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802274.0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1520426.0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3756.0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2521640</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2421484.0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2421484</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706.0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4799.0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80</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66141.0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47423.0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18718</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1180471.0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597669.0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582802</v>
      </c>
      <c r="G38" s="43"/>
      <c r="H38" s="43"/>
      <c r="I38" s="43"/>
      <c r="J38" s="43"/>
      <c r="K38" s="43"/>
      <c r="L38" s="43"/>
      <c r="M38" s="43"/>
      <c r="N38" s="43"/>
      <c r="O38" s="43"/>
      <c r="P38" s="43"/>
      <c r="Q38" s="43"/>
      <c r="R38" s="43"/>
      <c r="S38" s="43"/>
      <c r="T38" s="43"/>
      <c r="U38" s="43"/>
      <c r="V38" s="43"/>
      <c r="W38" s="43"/>
      <c r="X38" s="43"/>
      <c r="Y38" s="43"/>
      <c r="Z38" s="43"/>
    </row>
    <row r="39">
      <c r="A39" s="49"/>
      <c r="B39" s="45" t="s">
        <v>96</v>
      </c>
      <c r="C39" s="83" t="s">
        <v>97</v>
      </c>
      <c r="D39" s="74"/>
      <c r="E39" s="48">
        <v>1485.0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98</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1485</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5551634</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FRANK LLOYD WRIGHT TRUST</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159104</v>
      </c>
      <c r="D7" s="99">
        <v>0.0</v>
      </c>
      <c r="E7" s="99">
        <v>159104.0</v>
      </c>
      <c r="F7" s="99">
        <v>0.0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110</v>
      </c>
      <c r="C9" s="98">
        <f t="shared" si="1"/>
        <v>1448061</v>
      </c>
      <c r="D9" s="99">
        <v>752024.0</v>
      </c>
      <c r="E9" s="99">
        <v>560517.0</v>
      </c>
      <c r="F9" s="99">
        <v>135520.0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183115</v>
      </c>
      <c r="D11" s="99">
        <v>86811.0</v>
      </c>
      <c r="E11" s="99">
        <v>73441.0</v>
      </c>
      <c r="F11" s="99">
        <v>22863.0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132750</v>
      </c>
      <c r="D12" s="99">
        <v>67229.0</v>
      </c>
      <c r="E12" s="99">
        <v>55599.0</v>
      </c>
      <c r="F12" s="99">
        <v>9922.0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255105</v>
      </c>
      <c r="D20" s="99">
        <v>34635.0</v>
      </c>
      <c r="E20" s="99">
        <v>219339.0</v>
      </c>
      <c r="F20" s="99">
        <v>1131.0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38140</v>
      </c>
      <c r="D21" s="99">
        <v>30917.0</v>
      </c>
      <c r="E21" s="99">
        <v>7223.0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57658</v>
      </c>
      <c r="D22" s="99">
        <v>26502.0</v>
      </c>
      <c r="E22" s="99">
        <v>30991.0</v>
      </c>
      <c r="F22" s="99">
        <v>165.0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177244</v>
      </c>
      <c r="D25" s="99">
        <v>2053.0</v>
      </c>
      <c r="E25" s="99">
        <v>174561.0</v>
      </c>
      <c r="F25" s="99">
        <v>630.0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20926</v>
      </c>
      <c r="D26" s="99">
        <v>19550.0</v>
      </c>
      <c r="E26" s="99">
        <v>1077.0</v>
      </c>
      <c r="F26" s="99">
        <v>299.0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22879</v>
      </c>
      <c r="D29" s="99">
        <v>0.0</v>
      </c>
      <c r="E29" s="99">
        <v>22879.0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351043</v>
      </c>
      <c r="D31" s="99">
        <v>332087.0</v>
      </c>
      <c r="E31" s="99">
        <v>18956.0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62334</v>
      </c>
      <c r="D32" s="99">
        <v>2790.0</v>
      </c>
      <c r="E32" s="99">
        <v>59262.0</v>
      </c>
      <c r="F32" s="99">
        <v>282.0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46" t="s">
        <v>135</v>
      </c>
      <c r="C34" s="98">
        <f t="shared" si="1"/>
        <v>317380</v>
      </c>
      <c r="D34" s="99">
        <v>317380.0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136</v>
      </c>
      <c r="C35" s="98">
        <f t="shared" si="1"/>
        <v>136606</v>
      </c>
      <c r="D35" s="99">
        <v>29252.0</v>
      </c>
      <c r="E35" s="99">
        <v>93530.0</v>
      </c>
      <c r="F35" s="99">
        <v>13824.0</v>
      </c>
      <c r="G35" s="43"/>
      <c r="H35" s="43"/>
      <c r="I35" s="43"/>
      <c r="J35" s="43"/>
      <c r="K35" s="43"/>
      <c r="L35" s="43"/>
      <c r="M35" s="43"/>
      <c r="N35" s="43"/>
      <c r="O35" s="43"/>
      <c r="P35" s="43"/>
      <c r="Q35" s="43"/>
      <c r="R35" s="43"/>
      <c r="S35" s="43"/>
      <c r="T35" s="43"/>
      <c r="U35" s="43"/>
      <c r="V35" s="43"/>
      <c r="W35" s="43"/>
      <c r="X35" s="43"/>
      <c r="Y35" s="43"/>
      <c r="Z35" s="43"/>
    </row>
    <row r="36">
      <c r="A36" s="45" t="s">
        <v>50</v>
      </c>
      <c r="B36" s="102" t="s">
        <v>137</v>
      </c>
      <c r="C36" s="98">
        <f t="shared" si="1"/>
        <v>134011</v>
      </c>
      <c r="D36" s="99">
        <v>20930.0</v>
      </c>
      <c r="E36" s="99">
        <v>113081.0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138</v>
      </c>
      <c r="C37" s="98">
        <f t="shared" si="1"/>
        <v>122343</v>
      </c>
      <c r="D37" s="99">
        <v>111206.0</v>
      </c>
      <c r="E37" s="99">
        <v>4937.0</v>
      </c>
      <c r="F37" s="99">
        <v>6200.0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170766</v>
      </c>
      <c r="D38" s="99">
        <v>49573.0</v>
      </c>
      <c r="E38" s="99">
        <v>107432.0</v>
      </c>
      <c r="F38" s="99">
        <v>13761.0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3">
        <f t="shared" ref="C40:F40" si="2">sum(C3:C39)</f>
        <v>3789465</v>
      </c>
      <c r="D40" s="103">
        <f t="shared" si="2"/>
        <v>1882939</v>
      </c>
      <c r="E40" s="103">
        <f t="shared" si="2"/>
        <v>1701929</v>
      </c>
      <c r="F40" s="103">
        <f t="shared" si="2"/>
        <v>204597</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FRANK LLOYD WRIGHT TRUST</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141</v>
      </c>
      <c r="B2" s="45">
        <v>1.0</v>
      </c>
      <c r="C2" s="46" t="s">
        <v>142</v>
      </c>
      <c r="D2" s="110"/>
      <c r="E2" s="111">
        <v>1519362.0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2"/>
      <c r="E3" s="111">
        <v>562834.0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0"/>
      <c r="E4" s="111">
        <v>10000.0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2"/>
      <c r="E9" s="111">
        <v>222898.0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0"/>
      <c r="E10" s="111">
        <v>56704.0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1">
        <v>1.1330684E7</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1">
        <v>6073118.0</v>
      </c>
      <c r="E12" s="108">
        <f>D11-D12</f>
        <v>5257566</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2"/>
      <c r="E17" s="111">
        <v>688848.0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3"/>
      <c r="E18" s="114">
        <f>sum(E2:E17)</f>
        <v>8318212</v>
      </c>
      <c r="F18" s="43"/>
      <c r="G18" s="43"/>
      <c r="H18" s="43"/>
      <c r="I18" s="43"/>
      <c r="J18" s="43"/>
      <c r="K18" s="43"/>
      <c r="L18" s="43"/>
      <c r="M18" s="43"/>
      <c r="N18" s="43"/>
      <c r="O18" s="43"/>
      <c r="P18" s="43"/>
      <c r="Q18" s="43"/>
      <c r="R18" s="43"/>
      <c r="S18" s="43"/>
      <c r="T18" s="43"/>
      <c r="U18" s="43"/>
      <c r="V18" s="43"/>
      <c r="W18" s="43"/>
      <c r="X18" s="43"/>
      <c r="Y18" s="43"/>
      <c r="Z18" s="43"/>
    </row>
    <row r="19">
      <c r="A19" s="44" t="s">
        <v>161</v>
      </c>
      <c r="B19" s="115">
        <v>17.0</v>
      </c>
      <c r="C19" s="116" t="s">
        <v>162</v>
      </c>
      <c r="D19" s="117"/>
      <c r="E19" s="111">
        <v>194960.0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163</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164</v>
      </c>
      <c r="D21" s="117"/>
      <c r="E21" s="111">
        <v>375972.0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165</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166</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167</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168</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169</v>
      </c>
      <c r="D26" s="117"/>
      <c r="E26" s="118">
        <v>269998.0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170</v>
      </c>
      <c r="D27" s="117"/>
      <c r="E27" s="118">
        <v>713261.0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171</v>
      </c>
      <c r="D28" s="125"/>
      <c r="E28" s="126">
        <f>sum(E19:E27)</f>
        <v>1554191</v>
      </c>
      <c r="F28" s="43"/>
      <c r="G28" s="43"/>
      <c r="H28" s="43"/>
      <c r="I28" s="43"/>
      <c r="J28" s="43"/>
      <c r="K28" s="43"/>
      <c r="L28" s="43"/>
      <c r="M28" s="43"/>
      <c r="N28" s="43"/>
      <c r="O28" s="43"/>
      <c r="P28" s="43"/>
      <c r="Q28" s="43"/>
      <c r="R28" s="43"/>
      <c r="S28" s="43"/>
      <c r="T28" s="43"/>
      <c r="U28" s="43"/>
      <c r="V28" s="43"/>
      <c r="W28" s="43"/>
      <c r="X28" s="43"/>
      <c r="Y28" s="43"/>
      <c r="Z28" s="43"/>
    </row>
    <row r="29">
      <c r="A29" s="65" t="s">
        <v>172</v>
      </c>
      <c r="B29" s="127"/>
      <c r="C29" s="128" t="s">
        <v>173</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174</v>
      </c>
      <c r="D30" s="117"/>
      <c r="E30" s="111">
        <v>6509279.0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175</v>
      </c>
      <c r="D31" s="117"/>
      <c r="E31" s="111">
        <v>254742.0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176</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177</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178</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179</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180</v>
      </c>
      <c r="D36" s="131"/>
      <c r="E36" s="126">
        <f>sum(E30:E35)</f>
        <v>6764021</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181</v>
      </c>
      <c r="D37" s="135"/>
      <c r="E37" s="136">
        <f>E36+E28</f>
        <v>8318212</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FRANK LLOYD WRIGHT TRUST</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182</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183</v>
      </c>
      <c r="C3" s="144" t="s">
        <v>184</v>
      </c>
      <c r="D3" s="145">
        <f>'Expenses 2022'!C40</f>
        <v>3789465</v>
      </c>
      <c r="E3" s="146"/>
      <c r="F3" s="43"/>
      <c r="G3" s="43"/>
      <c r="H3" s="43"/>
      <c r="I3" s="43"/>
      <c r="J3" s="43"/>
      <c r="K3" s="43"/>
      <c r="L3" s="43"/>
      <c r="M3" s="43"/>
      <c r="N3" s="43"/>
      <c r="O3" s="43"/>
      <c r="P3" s="43"/>
      <c r="Q3" s="43"/>
      <c r="R3" s="43"/>
      <c r="S3" s="43"/>
      <c r="T3" s="43"/>
      <c r="U3" s="43"/>
      <c r="V3" s="43"/>
      <c r="W3" s="43"/>
      <c r="X3" s="43"/>
      <c r="Y3" s="43"/>
    </row>
    <row r="4">
      <c r="A4" s="138"/>
      <c r="B4" s="49"/>
      <c r="C4" s="144" t="s">
        <v>185</v>
      </c>
      <c r="D4" s="145">
        <f>'Expenses 2022'!C31</f>
        <v>351043</v>
      </c>
      <c r="E4" s="146"/>
      <c r="F4" s="43"/>
      <c r="G4" s="43"/>
      <c r="H4" s="43"/>
      <c r="I4" s="43"/>
      <c r="J4" s="43"/>
      <c r="K4" s="43"/>
      <c r="L4" s="43"/>
      <c r="M4" s="43"/>
      <c r="N4" s="43"/>
      <c r="O4" s="43"/>
      <c r="P4" s="43"/>
      <c r="Q4" s="43"/>
      <c r="R4" s="43"/>
      <c r="S4" s="43"/>
      <c r="T4" s="43"/>
      <c r="U4" s="43"/>
      <c r="V4" s="43"/>
      <c r="W4" s="43"/>
      <c r="X4" s="43"/>
      <c r="Y4" s="43"/>
    </row>
    <row r="5">
      <c r="A5" s="138"/>
      <c r="B5" s="49"/>
      <c r="C5" s="144" t="s">
        <v>186</v>
      </c>
      <c r="D5" s="145">
        <f>D3-D4</f>
        <v>3438422</v>
      </c>
      <c r="E5" s="146"/>
      <c r="F5" s="43"/>
      <c r="G5" s="43"/>
      <c r="H5" s="43"/>
      <c r="I5" s="43"/>
      <c r="J5" s="43"/>
      <c r="K5" s="43"/>
      <c r="L5" s="43"/>
      <c r="M5" s="43"/>
      <c r="N5" s="43"/>
      <c r="O5" s="43"/>
      <c r="P5" s="43"/>
      <c r="Q5" s="43"/>
      <c r="R5" s="43"/>
      <c r="S5" s="43"/>
      <c r="T5" s="43"/>
      <c r="U5" s="43"/>
      <c r="V5" s="43"/>
      <c r="W5" s="43"/>
      <c r="X5" s="43"/>
      <c r="Y5" s="43"/>
    </row>
    <row r="6">
      <c r="A6" s="138"/>
      <c r="B6" s="49"/>
      <c r="C6" s="144" t="s">
        <v>187</v>
      </c>
      <c r="D6" s="145">
        <f>D5/12</f>
        <v>286535.1667</v>
      </c>
      <c r="E6" s="146"/>
      <c r="F6" s="43"/>
      <c r="G6" s="43"/>
      <c r="H6" s="43"/>
      <c r="I6" s="43"/>
      <c r="J6" s="43"/>
      <c r="K6" s="43"/>
      <c r="L6" s="43"/>
      <c r="M6" s="43"/>
      <c r="N6" s="43"/>
      <c r="O6" s="43"/>
      <c r="P6" s="43"/>
      <c r="Q6" s="43"/>
      <c r="R6" s="43"/>
      <c r="S6" s="43"/>
      <c r="T6" s="43"/>
      <c r="U6" s="43"/>
      <c r="V6" s="43"/>
      <c r="W6" s="43"/>
      <c r="X6" s="43"/>
      <c r="Y6" s="43"/>
    </row>
    <row r="7">
      <c r="A7" s="138"/>
      <c r="B7" s="49"/>
      <c r="C7" s="144" t="s">
        <v>188</v>
      </c>
      <c r="D7" s="75">
        <f>'Balance Sheet 2022'!E2+'Balance Sheet 2022'!E3</f>
        <v>2082196</v>
      </c>
      <c r="E7" s="146"/>
      <c r="F7" s="43"/>
      <c r="G7" s="43"/>
      <c r="H7" s="43"/>
      <c r="I7" s="43"/>
      <c r="J7" s="43"/>
      <c r="K7" s="43"/>
      <c r="L7" s="43"/>
      <c r="M7" s="43"/>
      <c r="N7" s="43"/>
      <c r="O7" s="43"/>
      <c r="P7" s="43"/>
      <c r="Q7" s="43"/>
      <c r="R7" s="43"/>
      <c r="S7" s="43"/>
      <c r="T7" s="43"/>
      <c r="U7" s="43"/>
      <c r="V7" s="43"/>
      <c r="W7" s="43"/>
      <c r="X7" s="43"/>
      <c r="Y7" s="43"/>
    </row>
    <row r="8">
      <c r="A8" s="138"/>
      <c r="B8" s="49"/>
      <c r="C8" s="147" t="s">
        <v>182</v>
      </c>
      <c r="D8" s="148">
        <f>D7/D6</f>
        <v>7.266807855</v>
      </c>
      <c r="E8" s="149" t="s">
        <v>189</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190</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191</v>
      </c>
      <c r="C11" s="144" t="s">
        <v>192</v>
      </c>
      <c r="D11" s="75">
        <f>'Balance Sheet 2022'!E30</f>
        <v>6509279</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193</v>
      </c>
      <c r="D12" s="75">
        <f>'Expenses 2022'!C40</f>
        <v>3789465</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194</v>
      </c>
      <c r="D13" s="145">
        <f>D12/12</f>
        <v>315788.75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190</v>
      </c>
      <c r="D14" s="148">
        <f>D11/D13</f>
        <v>20.61276407</v>
      </c>
      <c r="E14" s="149" t="s">
        <v>189</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195</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196</v>
      </c>
      <c r="C17" s="144" t="s">
        <v>197</v>
      </c>
      <c r="D17" s="75">
        <f>sum('Balance Sheet 2022'!E13:E15)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193</v>
      </c>
      <c r="D18" s="75">
        <f>'Expenses 2022'!C40</f>
        <v>3789465</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194</v>
      </c>
      <c r="D19" s="145">
        <f>D18/12</f>
        <v>315788.75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198</v>
      </c>
      <c r="D20" s="148">
        <f>D17/D19</f>
        <v>0</v>
      </c>
      <c r="E20" s="149" t="s">
        <v>189</v>
      </c>
      <c r="F20" s="43"/>
      <c r="G20" s="43"/>
      <c r="H20" s="43"/>
      <c r="I20" s="43"/>
      <c r="J20" s="43"/>
      <c r="K20" s="43"/>
      <c r="L20" s="43"/>
      <c r="M20" s="43"/>
      <c r="N20" s="43"/>
      <c r="O20" s="43"/>
      <c r="P20" s="43"/>
      <c r="Q20" s="43"/>
      <c r="R20" s="43"/>
      <c r="S20" s="43"/>
      <c r="T20" s="43"/>
      <c r="U20" s="43"/>
      <c r="V20" s="43"/>
      <c r="W20" s="43"/>
      <c r="X20" s="43"/>
      <c r="Y20" s="43"/>
    </row>
    <row r="21">
      <c r="A21" s="138"/>
      <c r="B21" s="49"/>
      <c r="C21" s="153" t="s">
        <v>199</v>
      </c>
      <c r="D21" s="154">
        <f>D20+D8</f>
        <v>7.266807855</v>
      </c>
      <c r="E21" s="155" t="s">
        <v>189</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200</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201</v>
      </c>
      <c r="C24" s="159"/>
      <c r="D24" s="160">
        <f>max('Revenues 2022'!E2:E7,'Revenues 2022'!F10:F15)</f>
        <v>2421484</v>
      </c>
      <c r="E24" s="161" t="s">
        <v>202</v>
      </c>
      <c r="F24" s="43"/>
      <c r="G24" s="43"/>
      <c r="H24" s="43"/>
      <c r="I24" s="43"/>
      <c r="J24" s="43"/>
      <c r="K24" s="43"/>
      <c r="L24" s="43"/>
      <c r="M24" s="43"/>
      <c r="N24" s="43"/>
      <c r="O24" s="43"/>
      <c r="P24" s="43"/>
      <c r="Q24" s="43"/>
      <c r="R24" s="43"/>
      <c r="S24" s="43"/>
      <c r="T24" s="43"/>
      <c r="U24" s="43"/>
      <c r="V24" s="43"/>
      <c r="W24" s="43"/>
      <c r="X24" s="43"/>
      <c r="Y24" s="43"/>
    </row>
    <row r="25">
      <c r="A25" s="138"/>
      <c r="B25" s="49"/>
      <c r="C25" s="144" t="s">
        <v>203</v>
      </c>
      <c r="D25" s="145">
        <f>'Revenues 2022'!F44</f>
        <v>5551634</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200</v>
      </c>
      <c r="D26" s="162">
        <f>D24/D25</f>
        <v>0.4361750072</v>
      </c>
      <c r="E26" s="149" t="s">
        <v>204</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205</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206</v>
      </c>
      <c r="C29" s="144" t="s">
        <v>207</v>
      </c>
      <c r="D29" s="75">
        <f>SUM('Expenses 2022'!C7:C9)</f>
        <v>1607165</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208</v>
      </c>
      <c r="D30" s="75">
        <f>SUM('Expenses 2022'!C10:C12)</f>
        <v>315865</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209</v>
      </c>
      <c r="D31" s="75">
        <f>sum(D29:D30)</f>
        <v>1923030</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184</v>
      </c>
      <c r="D32" s="75">
        <f>'Expenses 2022'!C40</f>
        <v>3789465</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210</v>
      </c>
      <c r="D33" s="162">
        <f>D31/D32</f>
        <v>0.5074674129</v>
      </c>
      <c r="E33" s="149" t="s">
        <v>211</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212</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213</v>
      </c>
      <c r="C36" s="144" t="s">
        <v>214</v>
      </c>
      <c r="D36" s="75">
        <f>SUM('Expenses 2022'!C10:C11)</f>
        <v>183115</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207</v>
      </c>
      <c r="D37" s="75">
        <f>SUM('Expenses 2022'!C7:C9)</f>
        <v>1607165</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212</v>
      </c>
      <c r="D38" s="162">
        <f>D36/D37</f>
        <v>0.1139366524</v>
      </c>
      <c r="E38" s="149" t="s">
        <v>215</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216</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217</v>
      </c>
      <c r="C41" s="147" t="s">
        <v>218</v>
      </c>
      <c r="D41" s="75">
        <f>'Expenses 2022'!D40</f>
        <v>1882939</v>
      </c>
      <c r="E41" s="164">
        <f t="shared" ref="E41:E44" si="1">D41/$D$44</f>
        <v>0.4968878193</v>
      </c>
      <c r="F41" s="43"/>
      <c r="G41" s="43"/>
      <c r="H41" s="43"/>
      <c r="I41" s="43"/>
      <c r="J41" s="43"/>
      <c r="K41" s="43"/>
      <c r="L41" s="43"/>
      <c r="M41" s="43"/>
      <c r="N41" s="43"/>
      <c r="O41" s="43"/>
      <c r="P41" s="43"/>
      <c r="Q41" s="43"/>
      <c r="R41" s="43"/>
      <c r="S41" s="43"/>
      <c r="T41" s="43"/>
      <c r="U41" s="43"/>
      <c r="V41" s="43"/>
      <c r="W41" s="43"/>
      <c r="X41" s="43"/>
      <c r="Y41" s="43"/>
    </row>
    <row r="42">
      <c r="A42" s="138"/>
      <c r="B42" s="49"/>
      <c r="C42" s="147" t="s">
        <v>219</v>
      </c>
      <c r="D42" s="145">
        <f>'Expenses 2022'!E40</f>
        <v>1701929</v>
      </c>
      <c r="E42" s="164">
        <f t="shared" si="1"/>
        <v>0.449121182</v>
      </c>
      <c r="F42" s="43"/>
      <c r="G42" s="43"/>
      <c r="H42" s="43"/>
      <c r="I42" s="43"/>
      <c r="J42" s="43"/>
      <c r="K42" s="43"/>
      <c r="L42" s="43"/>
      <c r="M42" s="43"/>
      <c r="N42" s="43"/>
      <c r="O42" s="43"/>
      <c r="P42" s="43"/>
      <c r="Q42" s="43"/>
      <c r="R42" s="43"/>
      <c r="S42" s="43"/>
      <c r="T42" s="43"/>
      <c r="U42" s="43"/>
      <c r="V42" s="43"/>
      <c r="W42" s="43"/>
      <c r="X42" s="43"/>
      <c r="Y42" s="43"/>
    </row>
    <row r="43">
      <c r="A43" s="138"/>
      <c r="B43" s="49"/>
      <c r="C43" s="147" t="s">
        <v>220</v>
      </c>
      <c r="D43" s="145">
        <f>'Expenses 2022'!F40</f>
        <v>204597</v>
      </c>
      <c r="E43" s="164">
        <f t="shared" si="1"/>
        <v>0.05399099873</v>
      </c>
      <c r="F43" s="43"/>
      <c r="G43" s="43"/>
      <c r="H43" s="43"/>
      <c r="I43" s="43"/>
      <c r="J43" s="43"/>
      <c r="K43" s="43"/>
      <c r="L43" s="43"/>
      <c r="M43" s="43"/>
      <c r="N43" s="43"/>
      <c r="O43" s="43"/>
      <c r="P43" s="43"/>
      <c r="Q43" s="43"/>
      <c r="R43" s="43"/>
      <c r="S43" s="43"/>
      <c r="T43" s="43"/>
      <c r="U43" s="43"/>
      <c r="V43" s="43"/>
      <c r="W43" s="43"/>
      <c r="X43" s="43"/>
      <c r="Y43" s="43"/>
    </row>
    <row r="44">
      <c r="A44" s="138"/>
      <c r="B44" s="49"/>
      <c r="C44" s="144" t="s">
        <v>184</v>
      </c>
      <c r="D44" s="145">
        <f>sum(D41:D43)</f>
        <v>3789465</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221</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222</v>
      </c>
      <c r="C47" s="144" t="s">
        <v>223</v>
      </c>
      <c r="D47" s="145">
        <f>'Revenues 2022'!F9</f>
        <v>2521640</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224</v>
      </c>
      <c r="D48" s="145">
        <f>'Expenses 2022'!F40</f>
        <v>204597</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225</v>
      </c>
      <c r="D49" s="165">
        <f>if(D48=0, "$0",D47/D48)</f>
        <v>12.3249119</v>
      </c>
      <c r="E49" s="149" t="s">
        <v>226</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227</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228</v>
      </c>
      <c r="C52" s="144" t="s">
        <v>229</v>
      </c>
      <c r="D52" s="145">
        <f>sum('Balance Sheet 2022'!E2:E10)</f>
        <v>2371798</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230</v>
      </c>
      <c r="D53" s="145">
        <f>sum('Balance Sheet 2022'!E19:E22)</f>
        <v>570932</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231</v>
      </c>
      <c r="D54" s="167">
        <f>D52/D53</f>
        <v>4.154256549</v>
      </c>
      <c r="E54" s="149" t="s">
        <v>232</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233</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234</v>
      </c>
      <c r="C57" s="144" t="s">
        <v>235</v>
      </c>
      <c r="D57" s="145">
        <f>sum('Balance Sheet 2022'!E25:E26)</f>
        <v>269998</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236</v>
      </c>
      <c r="D58" s="145">
        <f>'Balance Sheet 2022'!E18</f>
        <v>8318212</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237</v>
      </c>
      <c r="D59" s="168">
        <f>D57/D58</f>
        <v>0.03245865818</v>
      </c>
      <c r="E59" s="149" t="s">
        <v>238</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FRANK LLOYD WRIGHT TRUST</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201131.0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159950.0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2310101.0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2671182</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2758076.0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2758076</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39756.0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8669.0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239</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11520.0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31280.0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-19760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1334901.0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706700.0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628201</v>
      </c>
      <c r="G38" s="43"/>
      <c r="H38" s="43"/>
      <c r="I38" s="43"/>
      <c r="J38" s="43"/>
      <c r="K38" s="43"/>
      <c r="L38" s="43"/>
      <c r="M38" s="43"/>
      <c r="N38" s="43"/>
      <c r="O38" s="43"/>
      <c r="P38" s="43"/>
      <c r="Q38" s="43"/>
      <c r="R38" s="43"/>
      <c r="S38" s="43"/>
      <c r="T38" s="43"/>
      <c r="U38" s="43"/>
      <c r="V38" s="43"/>
      <c r="W38" s="43"/>
      <c r="X38" s="43"/>
      <c r="Y38" s="43"/>
      <c r="Z38" s="43"/>
    </row>
    <row r="39">
      <c r="A39" s="49"/>
      <c r="B39" s="45" t="s">
        <v>96</v>
      </c>
      <c r="C39" s="83" t="s">
        <v>97</v>
      </c>
      <c r="D39" s="74"/>
      <c r="E39" s="48">
        <v>3875.0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3875</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6089999</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FRANK LLOYD WRIGHT TRUST</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388251</v>
      </c>
      <c r="D7" s="99">
        <v>215265.0</v>
      </c>
      <c r="E7" s="99">
        <v>142226.0</v>
      </c>
      <c r="F7" s="99">
        <v>30760.0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1245989</v>
      </c>
      <c r="D9" s="99">
        <v>690838.0</v>
      </c>
      <c r="E9" s="99">
        <v>456436.0</v>
      </c>
      <c r="F9" s="99">
        <v>98715.0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24428</v>
      </c>
      <c r="D10" s="99">
        <v>10574.0</v>
      </c>
      <c r="E10" s="99">
        <v>12025.0</v>
      </c>
      <c r="F10" s="99">
        <v>1829.0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206479</v>
      </c>
      <c r="D11" s="99">
        <v>118973.0</v>
      </c>
      <c r="E11" s="99">
        <v>59027.0</v>
      </c>
      <c r="F11" s="99">
        <v>28479.0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127792</v>
      </c>
      <c r="D12" s="99">
        <v>66385.0</v>
      </c>
      <c r="E12" s="99">
        <v>51900.0</v>
      </c>
      <c r="F12" s="99">
        <v>9507.0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195650</v>
      </c>
      <c r="D20" s="99">
        <v>11206.0</v>
      </c>
      <c r="E20" s="99">
        <v>172053.0</v>
      </c>
      <c r="F20" s="99">
        <v>12391.0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19233</v>
      </c>
      <c r="D21" s="99">
        <v>18250.0</v>
      </c>
      <c r="E21" s="99">
        <v>983.0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376691</v>
      </c>
      <c r="D22" s="99">
        <v>172609.0</v>
      </c>
      <c r="E22" s="99">
        <v>166227.0</v>
      </c>
      <c r="F22" s="99">
        <v>37855.0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11428</v>
      </c>
      <c r="D23" s="99">
        <v>0.0</v>
      </c>
      <c r="E23" s="99">
        <v>11428.0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364002</v>
      </c>
      <c r="D25" s="99">
        <v>5552.0</v>
      </c>
      <c r="E25" s="99">
        <v>353382.0</v>
      </c>
      <c r="F25" s="99">
        <v>5068.0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58656</v>
      </c>
      <c r="D26" s="99">
        <v>56326.0</v>
      </c>
      <c r="E26" s="99">
        <v>2060.0</v>
      </c>
      <c r="F26" s="99">
        <v>270.0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18125</v>
      </c>
      <c r="D29" s="99">
        <v>0.0</v>
      </c>
      <c r="E29" s="99">
        <v>18125.0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365004</v>
      </c>
      <c r="D31" s="99">
        <v>345294.0</v>
      </c>
      <c r="E31" s="99">
        <v>19710.0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61342</v>
      </c>
      <c r="D32" s="99">
        <v>0.0</v>
      </c>
      <c r="E32" s="99">
        <v>61342.0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46" t="s">
        <v>135</v>
      </c>
      <c r="C34" s="98">
        <f t="shared" si="1"/>
        <v>226044</v>
      </c>
      <c r="D34" s="99">
        <v>226044.0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137</v>
      </c>
      <c r="C35" s="98">
        <f t="shared" si="1"/>
        <v>112758</v>
      </c>
      <c r="D35" s="99">
        <v>16711.0</v>
      </c>
      <c r="E35" s="99">
        <v>96047.0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240</v>
      </c>
      <c r="C36" s="98">
        <f t="shared" si="1"/>
        <v>33927</v>
      </c>
      <c r="D36" s="99">
        <v>28254.0</v>
      </c>
      <c r="E36" s="99">
        <v>4239.0</v>
      </c>
      <c r="F36" s="99">
        <v>1434.0</v>
      </c>
      <c r="G36" s="43"/>
      <c r="H36" s="43"/>
      <c r="I36" s="43"/>
      <c r="J36" s="43"/>
      <c r="K36" s="43"/>
      <c r="L36" s="43"/>
      <c r="M36" s="43"/>
      <c r="N36" s="43"/>
      <c r="O36" s="43"/>
      <c r="P36" s="43"/>
      <c r="Q36" s="43"/>
      <c r="R36" s="43"/>
      <c r="S36" s="43"/>
      <c r="T36" s="43"/>
      <c r="U36" s="43"/>
      <c r="V36" s="43"/>
      <c r="W36" s="43"/>
      <c r="X36" s="43"/>
      <c r="Y36" s="43"/>
      <c r="Z36" s="43"/>
    </row>
    <row r="37">
      <c r="A37" s="45" t="s">
        <v>52</v>
      </c>
      <c r="B37" s="102" t="s">
        <v>241</v>
      </c>
      <c r="C37" s="98">
        <f t="shared" si="1"/>
        <v>3178</v>
      </c>
      <c r="D37" s="99">
        <v>2800.0</v>
      </c>
      <c r="E37" s="99">
        <v>378.0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3">
        <f t="shared" ref="C40:F40" si="2">sum(C3:C39)</f>
        <v>3838977</v>
      </c>
      <c r="D40" s="103">
        <f t="shared" si="2"/>
        <v>1985081</v>
      </c>
      <c r="E40" s="103">
        <f t="shared" si="2"/>
        <v>1627588</v>
      </c>
      <c r="F40" s="103">
        <f t="shared" si="2"/>
        <v>226308</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FRANK LLOYD WRIGHT TRUST</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141</v>
      </c>
      <c r="B2" s="45">
        <v>1.0</v>
      </c>
      <c r="C2" s="46" t="s">
        <v>142</v>
      </c>
      <c r="D2" s="110"/>
      <c r="E2" s="111">
        <v>2738503.0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2"/>
      <c r="E3" s="111">
        <v>550472.0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2"/>
      <c r="E5" s="111">
        <v>292345.0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2"/>
      <c r="E9" s="111">
        <v>270151.0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0"/>
      <c r="E10" s="111">
        <v>137165.0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1">
        <v>1.1794224E7</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1">
        <v>6438122.0</v>
      </c>
      <c r="E12" s="108">
        <f>D11-D12</f>
        <v>5356102</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2"/>
      <c r="E17" s="111">
        <v>1349050.0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3"/>
      <c r="E18" s="114">
        <f>sum(E2:E17)</f>
        <v>10693788</v>
      </c>
      <c r="F18" s="43"/>
      <c r="G18" s="43"/>
      <c r="H18" s="43"/>
      <c r="I18" s="43"/>
      <c r="J18" s="43"/>
      <c r="K18" s="43"/>
      <c r="L18" s="43"/>
      <c r="M18" s="43"/>
      <c r="N18" s="43"/>
      <c r="O18" s="43"/>
      <c r="P18" s="43"/>
      <c r="Q18" s="43"/>
      <c r="R18" s="43"/>
      <c r="S18" s="43"/>
      <c r="T18" s="43"/>
      <c r="U18" s="43"/>
      <c r="V18" s="43"/>
      <c r="W18" s="43"/>
      <c r="X18" s="43"/>
      <c r="Y18" s="43"/>
      <c r="Z18" s="43"/>
    </row>
    <row r="19">
      <c r="A19" s="44" t="s">
        <v>161</v>
      </c>
      <c r="B19" s="115">
        <v>17.0</v>
      </c>
      <c r="C19" s="116" t="s">
        <v>162</v>
      </c>
      <c r="D19" s="117"/>
      <c r="E19" s="111">
        <v>500661.0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163</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164</v>
      </c>
      <c r="D21" s="117"/>
      <c r="E21" s="111">
        <v>327190.0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165</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166</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167</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168</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169</v>
      </c>
      <c r="D26" s="117"/>
      <c r="E26" s="118">
        <v>190141.0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170</v>
      </c>
      <c r="D27" s="117"/>
      <c r="E27" s="118">
        <v>660753.0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171</v>
      </c>
      <c r="D28" s="125"/>
      <c r="E28" s="126">
        <f>sum(E19:E27)</f>
        <v>1678745</v>
      </c>
      <c r="F28" s="43"/>
      <c r="G28" s="43"/>
      <c r="H28" s="43"/>
      <c r="I28" s="43"/>
      <c r="J28" s="43"/>
      <c r="K28" s="43"/>
      <c r="L28" s="43"/>
      <c r="M28" s="43"/>
      <c r="N28" s="43"/>
      <c r="O28" s="43"/>
      <c r="P28" s="43"/>
      <c r="Q28" s="43"/>
      <c r="R28" s="43"/>
      <c r="S28" s="43"/>
      <c r="T28" s="43"/>
      <c r="U28" s="43"/>
      <c r="V28" s="43"/>
      <c r="W28" s="43"/>
      <c r="X28" s="43"/>
      <c r="Y28" s="43"/>
      <c r="Z28" s="43"/>
    </row>
    <row r="29">
      <c r="A29" s="65" t="s">
        <v>172</v>
      </c>
      <c r="B29" s="127"/>
      <c r="C29" s="128" t="s">
        <v>173</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174</v>
      </c>
      <c r="D30" s="117"/>
      <c r="E30" s="111">
        <v>7895858.0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175</v>
      </c>
      <c r="D31" s="117"/>
      <c r="E31" s="111">
        <v>1119185.0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176</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177</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178</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179</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180</v>
      </c>
      <c r="D36" s="131"/>
      <c r="E36" s="126">
        <f>sum(E30:E35)</f>
        <v>9015043</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181</v>
      </c>
      <c r="D37" s="135"/>
      <c r="E37" s="136">
        <f>E36+E28</f>
        <v>10693788</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